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unebiotopesasbl.sharepoint.com/sites/DossierASBL/Documents partages/PROJETS F&amp;B/Hesbaye Sauvage 2022-2024/Axe 1 - Densification du Maillage/1 Agriculteurs/Dossiers par agriculteurs/1.Template/"/>
    </mc:Choice>
  </mc:AlternateContent>
  <xr:revisionPtr revIDLastSave="1587" documentId="8_{2ACF304D-BC05-4925-B4CC-A26C169B6E2C}" xr6:coauthVersionLast="47" xr6:coauthVersionMax="47" xr10:uidLastSave="{5B47C0F5-3916-4F48-B504-7334C32D97AE}"/>
  <workbookProtection workbookAlgorithmName="SHA-512" workbookHashValue="kfbzA3XUhYGTK1s4YJfohDB8RwKkmWYKMQ2e5vEGpXegHT9AlLV39Hkqu2sW9WSDd0tx8SanNlbmdvngM1PRXg==" workbookSaltValue="wzuYtxUOtmU/Am0HUJFthg==" workbookSpinCount="100000" lockStructure="1"/>
  <bookViews>
    <workbookView xWindow="-120" yWindow="-120" windowWidth="29040" windowHeight="15720" tabRatio="331" xr2:uid="{CED55668-9F67-43FE-BB79-0D84EE0FCA8A}"/>
  </bookViews>
  <sheets>
    <sheet name="Module biodiversité" sheetId="1" r:id="rId1"/>
    <sheet name="Estimation rotation conv." sheetId="3" r:id="rId2"/>
    <sheet name="Feuil1" sheetId="2" state="hidden" r:id="rId3"/>
  </sheets>
  <definedNames>
    <definedName name="Z_922C0245_3CB9_4C57_99FF_81EAF4A86BDA_.wvu.Cols" localSheetId="0" hidden="1">'Module biodiversité'!$H:$Z</definedName>
  </definedNames>
  <calcPr calcId="191029"/>
  <customWorkbookViews>
    <customWorkbookView name="Module calcul" guid="{922C0245-3CB9-4C57-99FF-81EAF4A86BDA}" maximized="1" xWindow="-8" yWindow="-8" windowWidth="1936" windowHeight="1048" tabRatio="331" activeSheetId="1" showFormula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D43" i="1"/>
  <c r="D42" i="1"/>
  <c r="D41" i="1"/>
  <c r="D40" i="1"/>
  <c r="D39" i="1"/>
  <c r="F46" i="1"/>
  <c r="F45" i="1"/>
  <c r="F44" i="1"/>
  <c r="F41" i="1"/>
  <c r="F42" i="1"/>
  <c r="F43" i="1"/>
  <c r="F40" i="1"/>
  <c r="F39" i="1"/>
  <c r="D46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B29" i="1"/>
  <c r="B30" i="1" s="1"/>
  <c r="D45" i="1"/>
  <c r="B10" i="1"/>
  <c r="F14" i="1"/>
  <c r="E29" i="1"/>
  <c r="E30" i="1" s="1"/>
  <c r="D29" i="1"/>
  <c r="D30" i="1" s="1"/>
  <c r="C29" i="1"/>
  <c r="C30" i="1" s="1"/>
  <c r="G18" i="3"/>
  <c r="F18" i="3"/>
  <c r="E18" i="3"/>
  <c r="D18" i="3"/>
  <c r="C18" i="3"/>
  <c r="B18" i="3"/>
  <c r="D47" i="1" l="1"/>
  <c r="C32" i="1"/>
  <c r="B32" i="1"/>
  <c r="B31" i="1"/>
  <c r="F47" i="1"/>
  <c r="B53" i="1" s="1"/>
  <c r="E32" i="1"/>
  <c r="D32" i="1"/>
  <c r="F30" i="1"/>
  <c r="F29" i="1"/>
  <c r="C31" i="1"/>
  <c r="D31" i="1"/>
  <c r="C33" i="1" l="1"/>
  <c r="B33" i="1"/>
  <c r="B52" i="1"/>
  <c r="D52" i="1" s="1" a="1"/>
  <c r="D52" i="1" s="1"/>
  <c r="D33" i="1"/>
  <c r="O20" i="1" l="1"/>
  <c r="P20" i="1"/>
  <c r="O21" i="1"/>
  <c r="P21" i="1"/>
  <c r="O29" i="1"/>
  <c r="P29" i="1"/>
  <c r="O30" i="1"/>
  <c r="P30" i="1"/>
  <c r="O31" i="1"/>
  <c r="P31" i="1"/>
  <c r="O32" i="1"/>
  <c r="P32" i="1"/>
  <c r="O33" i="1"/>
  <c r="P33" i="1" s="1"/>
  <c r="O34" i="1"/>
  <c r="I16" i="1"/>
  <c r="P35" i="1" l="1"/>
  <c r="O35" i="1"/>
  <c r="D53" i="1" l="1" a="1"/>
  <c r="D53" i="1" s="1"/>
  <c r="C34" i="1"/>
  <c r="D34" i="1" l="1"/>
  <c r="E31" i="1"/>
  <c r="F31" i="1" s="1"/>
  <c r="U30" i="1"/>
  <c r="V30" i="1"/>
  <c r="W30" i="1"/>
  <c r="X30" i="1"/>
  <c r="Y30" i="1"/>
  <c r="T30" i="1"/>
  <c r="F32" i="1" l="1"/>
  <c r="E33" i="1"/>
  <c r="F33" i="1" s="1"/>
  <c r="E34" i="1" l="1"/>
  <c r="B34" i="1"/>
  <c r="F34" i="1" l="1"/>
  <c r="F55" i="1" s="1"/>
  <c r="F56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<sst xmlns="http://schemas.openxmlformats.org/spreadsheetml/2006/main" count="171" uniqueCount="131">
  <si>
    <t>MB5</t>
  </si>
  <si>
    <t>Mesure</t>
  </si>
  <si>
    <t>Subvention</t>
  </si>
  <si>
    <t>Semences</t>
  </si>
  <si>
    <t xml:space="preserve">Préparation du sol </t>
  </si>
  <si>
    <t>Semis</t>
  </si>
  <si>
    <t>Engrais</t>
  </si>
  <si>
    <t>Pulvé./epandage/binage</t>
  </si>
  <si>
    <t>Phytos</t>
  </si>
  <si>
    <t>Récolte</t>
  </si>
  <si>
    <t xml:space="preserve">Transport </t>
  </si>
  <si>
    <t>Frais de séchage</t>
  </si>
  <si>
    <t>Froment</t>
  </si>
  <si>
    <t>pdt contrat</t>
  </si>
  <si>
    <t>Betterave</t>
  </si>
  <si>
    <t>Escourgeon</t>
  </si>
  <si>
    <t>Maïs ensilage</t>
  </si>
  <si>
    <t xml:space="preserve">Maïs grain </t>
  </si>
  <si>
    <t>CONVENTIONNEL</t>
  </si>
  <si>
    <t>Total des coûts/ha</t>
  </si>
  <si>
    <t>Rendement/ha</t>
  </si>
  <si>
    <t>Prix moyen €/tonne</t>
  </si>
  <si>
    <t>Revenu culture/ha</t>
  </si>
  <si>
    <t>Bénéfice/ha</t>
  </si>
  <si>
    <t>Rendement moyen sur 5 ans</t>
  </si>
  <si>
    <t>avec maïs ensilage :</t>
  </si>
  <si>
    <t xml:space="preserve">SAU </t>
  </si>
  <si>
    <t>Grandes culture</t>
  </si>
  <si>
    <t>ha</t>
  </si>
  <si>
    <t>Prairies</t>
  </si>
  <si>
    <t>Parcelles</t>
  </si>
  <si>
    <t>MC7 &lt; SENP</t>
  </si>
  <si>
    <t>MC7 &gt; SENP</t>
  </si>
  <si>
    <t>MC7 fleurie</t>
  </si>
  <si>
    <t>Arbre isolé</t>
  </si>
  <si>
    <t>Haie, alignement arbres</t>
  </si>
  <si>
    <t>Bosquet, ilots arbustifs</t>
  </si>
  <si>
    <t>Jachère</t>
  </si>
  <si>
    <t>Mare</t>
  </si>
  <si>
    <t>Talus, Fossés</t>
  </si>
  <si>
    <t>Indice de Conversion</t>
  </si>
  <si>
    <t>Surface (ha)</t>
  </si>
  <si>
    <t>30 m²/arbre</t>
  </si>
  <si>
    <t>10 m²/mètre linéaire</t>
  </si>
  <si>
    <t>1,5 m²/m²</t>
  </si>
  <si>
    <t>1,5 ha/ha</t>
  </si>
  <si>
    <t>1 ha/ha</t>
  </si>
  <si>
    <t>600 m²/mare</t>
  </si>
  <si>
    <t>TOTAL SENP Maillage</t>
  </si>
  <si>
    <t>€ éco-régime/an</t>
  </si>
  <si>
    <t>Nombre</t>
  </si>
  <si>
    <t>Céréales sur pied</t>
  </si>
  <si>
    <t>Proyer</t>
  </si>
  <si>
    <t>Passeraux</t>
  </si>
  <si>
    <t>Busard</t>
  </si>
  <si>
    <t>Perdrix</t>
  </si>
  <si>
    <t>SENP ER Maillage</t>
  </si>
  <si>
    <t>Jachère mellifère*</t>
  </si>
  <si>
    <t>Bande bordure de champs**</t>
  </si>
  <si>
    <t>2 ha/ha</t>
  </si>
  <si>
    <t>525€/ha</t>
  </si>
  <si>
    <t>0,35€/m</t>
  </si>
  <si>
    <t>700€/ha</t>
  </si>
  <si>
    <t>210€/mare</t>
  </si>
  <si>
    <t>1,050€/arbre</t>
  </si>
  <si>
    <t>* Coûts d'implantation pris en compte</t>
  </si>
  <si>
    <t>525 €/ha</t>
  </si>
  <si>
    <t>TOTAL NET (€)</t>
  </si>
  <si>
    <t>Total Surface (ha)</t>
  </si>
  <si>
    <t>Total Subvention (€)</t>
  </si>
  <si>
    <t>Total coûts (€)</t>
  </si>
  <si>
    <t>Total</t>
  </si>
  <si>
    <t>Coût semences * (€)</t>
  </si>
  <si>
    <t>Coût implantation * (€)</t>
  </si>
  <si>
    <t>Revenu total annuel généré pour l’ensemble des aménagements biodiversité</t>
  </si>
  <si>
    <t>Nom de parcelle 1</t>
  </si>
  <si>
    <t>Nom de parcelle 2</t>
  </si>
  <si>
    <t>Nom de parcelle 3</t>
  </si>
  <si>
    <t>Nom de parcelle 4</t>
  </si>
  <si>
    <t>Nom de parcelle 5</t>
  </si>
  <si>
    <t>Nom de parcelle 6</t>
  </si>
  <si>
    <t>Nom de parcelle 7</t>
  </si>
  <si>
    <t>Nom de parcelle 8</t>
  </si>
  <si>
    <t>Nom de parcelle 9</t>
  </si>
  <si>
    <t>Nom de parcelle 10</t>
  </si>
  <si>
    <t>Nom de parcelle 11</t>
  </si>
  <si>
    <t>Nom de parcelle 12</t>
  </si>
  <si>
    <t>Nom de parcelle 13</t>
  </si>
  <si>
    <t>Nom de parcelle 14</t>
  </si>
  <si>
    <t>total</t>
  </si>
  <si>
    <t>Nombre d'hectares</t>
  </si>
  <si>
    <t>MAEC</t>
  </si>
  <si>
    <t>ETAPE II : encodez votre nom de parcelles et la surface d'aménagement y correspondant (en ha)</t>
  </si>
  <si>
    <t>ETAPE III : encodez les éléments repris dans l'éco-régime maillage</t>
  </si>
  <si>
    <t>max:</t>
  </si>
  <si>
    <t xml:space="preserve">Pourcentage de la SAU engagé </t>
  </si>
  <si>
    <t>SAU (Surface agricole utile)</t>
  </si>
  <si>
    <t>Mis à jour le 10/06/24</t>
  </si>
  <si>
    <t>Une question? Besoin d'aide?</t>
  </si>
  <si>
    <t>tbreuskin@faune-biotopes.be</t>
  </si>
  <si>
    <t>Quantité</t>
  </si>
  <si>
    <t>Mare (nombre)</t>
  </si>
  <si>
    <t>Arbre isolé (nombre)</t>
  </si>
  <si>
    <t>Jachère mellifère * (ha)</t>
  </si>
  <si>
    <t>Jachère (ha)</t>
  </si>
  <si>
    <t>Céréales sur pieds * (ha)</t>
  </si>
  <si>
    <t>ETAPE IV : RESULTAT</t>
  </si>
  <si>
    <t>MC7 hautes herbes</t>
  </si>
  <si>
    <t>Haie, alignement arbres (m)</t>
  </si>
  <si>
    <t>Surface comptabilisée (ha)</t>
  </si>
  <si>
    <t>Module de calcul coût - bénéfice MAEC culture &amp; éco-régimes maillage</t>
  </si>
  <si>
    <t>Eco-régime (surface comptabilisée)</t>
  </si>
  <si>
    <t>Prairies permanentes</t>
  </si>
  <si>
    <t>MC7 nourricier</t>
  </si>
  <si>
    <t>Grandes cultures (incl. prairies temporaires)</t>
  </si>
  <si>
    <t>Pulvé,/epandage/binage</t>
  </si>
  <si>
    <t>1,050 €/ha</t>
  </si>
  <si>
    <t>éco-régime maillage</t>
  </si>
  <si>
    <t>TOTAL éco-régime maillage (€)</t>
  </si>
  <si>
    <t>Bande bordure de champs (ha)</t>
  </si>
  <si>
    <t>Revenu MAEC  /ha /an</t>
  </si>
  <si>
    <t>ETAPE I : Complétez la SAU de votre exploitation (Surface Agricole Utile)</t>
  </si>
  <si>
    <t>* Coût annuel réparti sur 5 ans.  Ex : 250 euros de semence par hectare pour MB5 = 50 euros par an</t>
  </si>
  <si>
    <t>Ceci est une estimation à titre informatif. L'ASBL Faune &amp; Biotopes asbl ne peut être tenue responsable en cas de variations des coûts et montants octroyés.</t>
  </si>
  <si>
    <t xml:space="preserve">MC7 </t>
  </si>
  <si>
    <t>Bosquet, ilots arbustifs (min 20 m²)</t>
  </si>
  <si>
    <t>270 €/mare</t>
  </si>
  <si>
    <t>900 €/ha</t>
  </si>
  <si>
    <t>1,35 €/arbre</t>
  </si>
  <si>
    <t>0,45 €/m</t>
  </si>
  <si>
    <t>675 €/ha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</si>
</sst>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8"/>
      <color theme="5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2"/>
      <color theme="1"/>
      <name val="Tw Cen MT"/>
      <family val="2"/>
    </font>
    <font>
      <b/>
      <sz val="12"/>
      <color theme="5"/>
      <name val="Tw Cen MT"/>
      <family val="2"/>
    </font>
    <font>
      <b/>
      <sz val="12"/>
      <color indexed="63"/>
      <name val="Tw Cen MT"/>
      <family val="2"/>
    </font>
    <font>
      <b/>
      <sz val="12"/>
      <color theme="1"/>
      <name val="Tw Cen MT"/>
      <family val="2"/>
    </font>
    <font>
      <sz val="10"/>
      <color theme="1"/>
      <name val="Tw Cen MT"/>
      <family val="2"/>
    </font>
    <font>
      <b/>
      <sz val="10"/>
      <color theme="1"/>
      <name val="Tw Cen MT"/>
      <family val="2"/>
    </font>
    <font>
      <sz val="10"/>
      <name val="Tw Cen MT"/>
      <family val="2"/>
    </font>
    <font>
      <b/>
      <sz val="10"/>
      <color theme="0"/>
      <name val="Tw Cen MT"/>
      <family val="2"/>
    </font>
    <font>
      <b/>
      <sz val="14"/>
      <color theme="0"/>
      <name val="Tw Cen MT"/>
      <family val="2"/>
    </font>
    <font>
      <sz val="14"/>
      <color theme="1"/>
      <name val="Tw Cen MT"/>
      <family val="2"/>
    </font>
    <font>
      <b/>
      <sz val="14"/>
      <color theme="9"/>
      <name val="Tw Cen MT"/>
      <family val="2"/>
    </font>
    <font>
      <b/>
      <sz val="14"/>
      <color indexed="63"/>
      <name val="Tw Cen MT"/>
      <family val="2"/>
    </font>
    <font>
      <b/>
      <sz val="14"/>
      <color theme="1"/>
      <name val="Tw Cen MT"/>
      <family val="2"/>
    </font>
    <font>
      <b/>
      <sz val="10"/>
      <color theme="8"/>
      <name val="Tw Cen MT"/>
      <family val="2"/>
    </font>
    <font>
      <b/>
      <sz val="12"/>
      <color theme="0"/>
      <name val="Tw Cen MT"/>
      <family val="2"/>
    </font>
    <font>
      <b/>
      <sz val="12"/>
      <name val="Tw Cen MT"/>
      <family val="2"/>
    </font>
    <font>
      <sz val="12"/>
      <name val="Tw Cen MT"/>
      <family val="2"/>
    </font>
    <font>
      <b/>
      <sz val="12"/>
      <color theme="9"/>
      <name val="Tw Cen MT"/>
      <family val="2"/>
    </font>
    <font>
      <u/>
      <sz val="11"/>
      <color theme="10"/>
      <name val="Calibri"/>
      <family val="2"/>
      <scheme val="minor"/>
    </font>
    <font>
      <sz val="20"/>
      <color theme="0"/>
      <name val="Tw Cen MT"/>
      <family val="2"/>
    </font>
    <font>
      <sz val="10"/>
      <color theme="8"/>
      <name val="Tw Cen MT"/>
      <family val="2"/>
    </font>
    <font>
      <b/>
      <sz val="9"/>
      <color theme="0"/>
      <name val="Tw Cen MT"/>
      <family val="2"/>
    </font>
    <font>
      <sz val="9"/>
      <name val="Tw Cen MT"/>
      <family val="2"/>
    </font>
    <font>
      <b/>
      <sz val="9"/>
      <name val="Tw Cen MT"/>
      <family val="2"/>
    </font>
    <font>
      <b/>
      <u/>
      <sz val="12"/>
      <color theme="0"/>
      <name val="Tw Cen MT"/>
      <family val="2"/>
    </font>
    <font>
      <sz val="10"/>
      <color rgb="FFFF0000"/>
      <name val="Tw Cen MT"/>
      <family val="2"/>
    </font>
    <font>
      <sz val="8"/>
      <color theme="1"/>
      <name val="Tw Cen MT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theme="4"/>
      </patternFill>
    </fill>
    <fill>
      <patternFill patternType="solid">
        <fgColor rgb="FF99CC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>
      <alignment horizontal="left" vertical="center"/>
    </xf>
    <xf numFmtId="0" fontId="3" fillId="6" borderId="0">
      <alignment vertical="center"/>
    </xf>
    <xf numFmtId="164" fontId="3" fillId="5" borderId="0">
      <alignment horizontal="right" vertical="center"/>
    </xf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151">
    <xf numFmtId="0" fontId="0" fillId="0" borderId="0" xfId="0"/>
    <xf numFmtId="0" fontId="8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8" fillId="0" borderId="0" xfId="1" applyNumberFormat="1" applyFont="1" applyFill="1" applyBorder="1" applyProtection="1"/>
    <xf numFmtId="0" fontId="11" fillId="9" borderId="0" xfId="1" applyNumberFormat="1" applyFont="1" applyFill="1" applyBorder="1" applyProtection="1"/>
    <xf numFmtId="164" fontId="11" fillId="9" borderId="0" xfId="2" applyNumberFormat="1" applyFont="1" applyFill="1" applyBorder="1" applyAlignment="1" applyProtection="1">
      <alignment horizontal="center"/>
    </xf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1" xfId="0" applyFont="1" applyBorder="1"/>
    <xf numFmtId="44" fontId="9" fillId="0" borderId="1" xfId="2" applyFont="1" applyBorder="1" applyAlignment="1" applyProtection="1">
      <alignment horizontal="center" vertical="center"/>
    </xf>
    <xf numFmtId="0" fontId="13" fillId="0" borderId="0" xfId="0" applyFont="1"/>
    <xf numFmtId="0" fontId="14" fillId="5" borderId="0" xfId="3" applyFont="1" applyFill="1">
      <alignment horizontal="left" vertical="center"/>
    </xf>
    <xf numFmtId="0" fontId="15" fillId="5" borderId="0" xfId="0" applyFont="1" applyFill="1" applyAlignment="1">
      <alignment horizontal="left" vertical="center" wrapText="1"/>
    </xf>
    <xf numFmtId="0" fontId="13" fillId="0" borderId="0" xfId="4" applyFont="1" applyFill="1" applyAlignment="1">
      <alignment vertical="top"/>
    </xf>
    <xf numFmtId="0" fontId="13" fillId="0" borderId="0" xfId="0" applyFont="1" applyAlignment="1">
      <alignment vertical="top"/>
    </xf>
    <xf numFmtId="164" fontId="13" fillId="0" borderId="0" xfId="5" applyFont="1" applyFill="1" applyAlignment="1">
      <alignment horizontal="right" vertical="top"/>
    </xf>
    <xf numFmtId="164" fontId="16" fillId="0" borderId="0" xfId="5" applyFont="1" applyFill="1" applyAlignment="1">
      <alignment horizontal="right" vertical="top"/>
    </xf>
    <xf numFmtId="0" fontId="9" fillId="4" borderId="1" xfId="0" applyFont="1" applyFill="1" applyBorder="1"/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6" fontId="8" fillId="0" borderId="1" xfId="0" applyNumberFormat="1" applyFont="1" applyBorder="1"/>
    <xf numFmtId="0" fontId="8" fillId="0" borderId="2" xfId="0" applyFont="1" applyBorder="1"/>
    <xf numFmtId="0" fontId="9" fillId="0" borderId="1" xfId="0" applyFont="1" applyBorder="1" applyAlignment="1">
      <alignment horizontal="center"/>
    </xf>
    <xf numFmtId="6" fontId="8" fillId="0" borderId="16" xfId="0" applyNumberFormat="1" applyFont="1" applyBorder="1"/>
    <xf numFmtId="0" fontId="8" fillId="0" borderId="18" xfId="0" applyFont="1" applyBorder="1"/>
    <xf numFmtId="0" fontId="8" fillId="0" borderId="21" xfId="0" applyFont="1" applyBorder="1" applyAlignment="1">
      <alignment horizontal="right" vertical="center"/>
    </xf>
    <xf numFmtId="0" fontId="8" fillId="0" borderId="18" xfId="0" applyFont="1" applyBorder="1" applyAlignment="1">
      <alignment horizontal="center"/>
    </xf>
    <xf numFmtId="6" fontId="8" fillId="0" borderId="18" xfId="0" applyNumberFormat="1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44" fontId="8" fillId="0" borderId="18" xfId="2" applyFont="1" applyBorder="1" applyProtection="1"/>
    <xf numFmtId="0" fontId="8" fillId="0" borderId="19" xfId="0" applyFont="1" applyBorder="1"/>
    <xf numFmtId="0" fontId="8" fillId="0" borderId="22" xfId="0" applyFont="1" applyBorder="1" applyAlignment="1">
      <alignment horizontal="right" vertical="center"/>
    </xf>
    <xf numFmtId="0" fontId="8" fillId="0" borderId="19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44" fontId="8" fillId="0" borderId="19" xfId="2" applyFont="1" applyBorder="1" applyProtection="1"/>
    <xf numFmtId="0" fontId="8" fillId="0" borderId="3" xfId="0" applyFont="1" applyBorder="1"/>
    <xf numFmtId="0" fontId="8" fillId="0" borderId="3" xfId="0" applyFont="1" applyBorder="1" applyAlignment="1">
      <alignment horizontal="center" vertical="center"/>
    </xf>
    <xf numFmtId="44" fontId="8" fillId="0" borderId="24" xfId="2" applyFont="1" applyBorder="1" applyProtection="1"/>
    <xf numFmtId="2" fontId="17" fillId="7" borderId="0" xfId="0" applyNumberFormat="1" applyFont="1" applyFill="1" applyAlignment="1" applyProtection="1">
      <alignment horizontal="center"/>
      <protection locked="0"/>
    </xf>
    <xf numFmtId="10" fontId="19" fillId="0" borderId="0" xfId="6" applyNumberFormat="1" applyFont="1" applyFill="1" applyAlignment="1" applyProtection="1">
      <alignment horizontal="center"/>
    </xf>
    <xf numFmtId="0" fontId="8" fillId="7" borderId="0" xfId="0" applyFont="1" applyFill="1"/>
    <xf numFmtId="10" fontId="9" fillId="7" borderId="0" xfId="6" applyNumberFormat="1" applyFont="1" applyFill="1" applyAlignment="1" applyProtection="1">
      <alignment horizontal="center"/>
    </xf>
    <xf numFmtId="164" fontId="8" fillId="0" borderId="0" xfId="2" applyNumberFormat="1" applyFont="1" applyFill="1" applyBorder="1" applyAlignment="1" applyProtection="1">
      <alignment horizontal="center"/>
    </xf>
    <xf numFmtId="0" fontId="8" fillId="0" borderId="0" xfId="2" applyNumberFormat="1" applyFont="1" applyFill="1" applyBorder="1" applyAlignment="1" applyProtection="1">
      <alignment horizontal="center"/>
    </xf>
    <xf numFmtId="0" fontId="24" fillId="7" borderId="0" xfId="1" applyNumberFormat="1" applyFont="1" applyFill="1" applyBorder="1" applyProtection="1">
      <protection locked="0"/>
    </xf>
    <xf numFmtId="0" fontId="24" fillId="0" borderId="0" xfId="1" applyNumberFormat="1" applyFont="1" applyBorder="1" applyProtection="1">
      <protection locked="0"/>
    </xf>
    <xf numFmtId="6" fontId="8" fillId="6" borderId="0" xfId="0" applyNumberFormat="1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8" fillId="6" borderId="0" xfId="0" applyFont="1" applyFill="1"/>
    <xf numFmtId="2" fontId="8" fillId="7" borderId="0" xfId="0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2" fontId="24" fillId="7" borderId="0" xfId="0" applyNumberFormat="1" applyFont="1" applyFill="1" applyAlignment="1" applyProtection="1">
      <alignment horizontal="center"/>
      <protection locked="0"/>
    </xf>
    <xf numFmtId="2" fontId="24" fillId="0" borderId="0" xfId="0" applyNumberFormat="1" applyFont="1" applyAlignment="1" applyProtection="1">
      <alignment horizontal="center"/>
      <protection locked="0"/>
    </xf>
    <xf numFmtId="2" fontId="24" fillId="6" borderId="0" xfId="0" applyNumberFormat="1" applyFont="1" applyFill="1" applyAlignment="1" applyProtection="1">
      <alignment horizontal="center" vertical="center"/>
      <protection locked="0"/>
    </xf>
    <xf numFmtId="2" fontId="24" fillId="0" borderId="0" xfId="0" applyNumberFormat="1" applyFont="1" applyAlignment="1" applyProtection="1">
      <alignment horizontal="center" vertical="center"/>
      <protection locked="0"/>
    </xf>
    <xf numFmtId="0" fontId="9" fillId="11" borderId="0" xfId="0" applyFont="1" applyFill="1"/>
    <xf numFmtId="0" fontId="5" fillId="5" borderId="0" xfId="3" applyFont="1" applyFill="1" applyAlignment="1">
      <alignment horizontal="left" vertical="top"/>
    </xf>
    <xf numFmtId="0" fontId="6" fillId="5" borderId="0" xfId="0" applyFont="1" applyFill="1" applyAlignment="1">
      <alignment horizontal="left" vertical="top" wrapText="1"/>
    </xf>
    <xf numFmtId="0" fontId="4" fillId="0" borderId="0" xfId="4" applyFont="1" applyFill="1">
      <alignment vertical="center"/>
    </xf>
    <xf numFmtId="164" fontId="4" fillId="0" borderId="0" xfId="5" applyFont="1" applyFill="1">
      <alignment horizontal="right" vertical="center"/>
    </xf>
    <xf numFmtId="164" fontId="7" fillId="0" borderId="0" xfId="5" applyFont="1" applyFill="1">
      <alignment horizontal="right" vertical="center"/>
    </xf>
    <xf numFmtId="0" fontId="4" fillId="0" borderId="0" xfId="0" applyFont="1" applyAlignment="1">
      <alignment vertical="top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/>
    </xf>
    <xf numFmtId="9" fontId="10" fillId="0" borderId="0" xfId="0" applyNumberFormat="1" applyFont="1" applyAlignment="1">
      <alignment horizontal="left"/>
    </xf>
    <xf numFmtId="0" fontId="9" fillId="4" borderId="1" xfId="0" applyFont="1" applyFill="1" applyBorder="1" applyAlignment="1">
      <alignment horizontal="center" vertical="center"/>
    </xf>
    <xf numFmtId="0" fontId="9" fillId="0" borderId="2" xfId="0" applyFont="1" applyBorder="1"/>
    <xf numFmtId="164" fontId="8" fillId="0" borderId="0" xfId="0" applyNumberFormat="1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4" xfId="0" applyFont="1" applyBorder="1"/>
    <xf numFmtId="0" fontId="8" fillId="0" borderId="4" xfId="0" applyFont="1" applyBorder="1" applyAlignment="1">
      <alignment horizontal="center" vertical="center"/>
    </xf>
    <xf numFmtId="164" fontId="11" fillId="9" borderId="0" xfId="0" applyNumberFormat="1" applyFont="1" applyFill="1" applyAlignment="1">
      <alignment horizontal="center"/>
    </xf>
    <xf numFmtId="6" fontId="8" fillId="0" borderId="0" xfId="0" applyNumberFormat="1" applyFont="1"/>
    <xf numFmtId="6" fontId="8" fillId="0" borderId="19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2" fontId="8" fillId="2" borderId="15" xfId="0" applyNumberFormat="1" applyFont="1" applyFill="1" applyBorder="1" applyAlignment="1">
      <alignment horizontal="center"/>
    </xf>
    <xf numFmtId="44" fontId="8" fillId="3" borderId="1" xfId="0" applyNumberFormat="1" applyFont="1" applyFill="1" applyBorder="1"/>
    <xf numFmtId="0" fontId="8" fillId="0" borderId="12" xfId="0" applyFont="1" applyBorder="1" applyAlignment="1">
      <alignment horizontal="center" vertical="center"/>
    </xf>
    <xf numFmtId="0" fontId="18" fillId="8" borderId="0" xfId="0" applyFont="1" applyFill="1" applyAlignment="1">
      <alignment vertical="center"/>
    </xf>
    <xf numFmtId="0" fontId="9" fillId="9" borderId="0" xfId="0" applyFont="1" applyFill="1" applyAlignment="1">
      <alignment horizontal="left"/>
    </xf>
    <xf numFmtId="0" fontId="9" fillId="9" borderId="0" xfId="0" applyFont="1" applyFill="1" applyAlignment="1">
      <alignment horizontal="center"/>
    </xf>
    <xf numFmtId="0" fontId="9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25" fillId="13" borderId="25" xfId="0" applyFont="1" applyFill="1" applyBorder="1" applyAlignment="1">
      <alignment horizontal="center"/>
    </xf>
    <xf numFmtId="165" fontId="26" fillId="12" borderId="25" xfId="0" applyNumberFormat="1" applyFont="1" applyFill="1" applyBorder="1" applyAlignment="1">
      <alignment horizontal="center"/>
    </xf>
    <xf numFmtId="165" fontId="25" fillId="14" borderId="25" xfId="0" applyNumberFormat="1" applyFont="1" applyFill="1" applyBorder="1" applyAlignment="1">
      <alignment horizontal="center"/>
    </xf>
    <xf numFmtId="44" fontId="8" fillId="6" borderId="0" xfId="2" applyFont="1" applyFill="1" applyBorder="1" applyAlignment="1" applyProtection="1">
      <alignment horizontal="center" vertical="center"/>
    </xf>
    <xf numFmtId="44" fontId="8" fillId="0" borderId="0" xfId="2" applyFont="1" applyBorder="1" applyAlignment="1" applyProtection="1">
      <alignment horizontal="center" vertical="center"/>
    </xf>
    <xf numFmtId="0" fontId="25" fillId="13" borderId="26" xfId="0" applyFont="1" applyFill="1" applyBorder="1" applyAlignment="1">
      <alignment horizontal="center"/>
    </xf>
    <xf numFmtId="0" fontId="26" fillId="12" borderId="26" xfId="0" applyFont="1" applyFill="1" applyBorder="1" applyAlignment="1">
      <alignment horizontal="center"/>
    </xf>
    <xf numFmtId="165" fontId="27" fillId="14" borderId="26" xfId="0" applyNumberFormat="1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2" fontId="11" fillId="9" borderId="0" xfId="0" applyNumberFormat="1" applyFont="1" applyFill="1" applyAlignment="1">
      <alignment horizontal="center"/>
    </xf>
    <xf numFmtId="0" fontId="7" fillId="0" borderId="0" xfId="0" applyFont="1"/>
    <xf numFmtId="0" fontId="12" fillId="0" borderId="0" xfId="0" applyFont="1" applyAlignment="1">
      <alignment horizontal="left" vertical="center"/>
    </xf>
    <xf numFmtId="0" fontId="21" fillId="5" borderId="0" xfId="3" applyFont="1" applyFill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4" fillId="0" borderId="0" xfId="4" applyFont="1" applyFill="1" applyAlignment="1">
      <alignment vertical="top"/>
    </xf>
    <xf numFmtId="164" fontId="4" fillId="0" borderId="0" xfId="5" applyFont="1" applyFill="1" applyAlignment="1">
      <alignment horizontal="right" vertical="top"/>
    </xf>
    <xf numFmtId="164" fontId="7" fillId="0" borderId="0" xfId="5" applyFont="1" applyFill="1" applyAlignment="1">
      <alignment horizontal="right" vertical="top"/>
    </xf>
    <xf numFmtId="0" fontId="1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6" fontId="11" fillId="9" borderId="0" xfId="0" applyNumberFormat="1" applyFont="1" applyFill="1"/>
    <xf numFmtId="6" fontId="17" fillId="9" borderId="0" xfId="0" applyNumberFormat="1" applyFont="1" applyFill="1"/>
    <xf numFmtId="44" fontId="11" fillId="9" borderId="0" xfId="0" applyNumberFormat="1" applyFont="1" applyFill="1" applyAlignment="1">
      <alignment horizontal="center" vertical="center"/>
    </xf>
    <xf numFmtId="0" fontId="8" fillId="11" borderId="0" xfId="0" applyFont="1" applyFill="1"/>
    <xf numFmtId="0" fontId="9" fillId="11" borderId="0" xfId="0" applyFont="1" applyFill="1" applyAlignment="1">
      <alignment horizontal="center"/>
    </xf>
    <xf numFmtId="0" fontId="8" fillId="7" borderId="0" xfId="0" applyFont="1" applyFill="1" applyAlignment="1">
      <alignment horizontal="left"/>
    </xf>
    <xf numFmtId="9" fontId="10" fillId="7" borderId="0" xfId="0" applyNumberFormat="1" applyFont="1" applyFill="1" applyAlignment="1">
      <alignment horizontal="center"/>
    </xf>
    <xf numFmtId="0" fontId="29" fillId="0" borderId="0" xfId="0" applyFont="1" applyAlignment="1">
      <alignment vertical="center"/>
    </xf>
    <xf numFmtId="0" fontId="29" fillId="0" borderId="0" xfId="0" applyFont="1"/>
    <xf numFmtId="0" fontId="18" fillId="10" borderId="0" xfId="3" applyFont="1" applyFill="1">
      <alignment horizontal="left" vertical="center"/>
    </xf>
    <xf numFmtId="164" fontId="28" fillId="10" borderId="0" xfId="3" applyNumberFormat="1" applyFont="1" applyFill="1" applyAlignment="1">
      <alignment vertical="center"/>
    </xf>
    <xf numFmtId="0" fontId="4" fillId="10" borderId="0" xfId="0" applyFont="1" applyFill="1"/>
    <xf numFmtId="164" fontId="28" fillId="10" borderId="0" xfId="3" applyNumberFormat="1" applyFont="1" applyFill="1" applyAlignment="1">
      <alignment horizontal="center" vertical="center"/>
    </xf>
    <xf numFmtId="0" fontId="22" fillId="0" borderId="0" xfId="7" applyProtection="1"/>
    <xf numFmtId="6" fontId="8" fillId="0" borderId="0" xfId="0" applyNumberFormat="1" applyFont="1" applyAlignment="1">
      <alignment horizontal="center"/>
    </xf>
    <xf numFmtId="44" fontId="8" fillId="0" borderId="0" xfId="2" applyFont="1" applyFill="1" applyBorder="1" applyAlignment="1" applyProtection="1">
      <alignment horizontal="center" vertical="center"/>
    </xf>
    <xf numFmtId="0" fontId="26" fillId="0" borderId="26" xfId="0" applyFont="1" applyBorder="1" applyAlignment="1">
      <alignment horizontal="center"/>
    </xf>
    <xf numFmtId="0" fontId="30" fillId="0" borderId="0" xfId="0" applyFont="1"/>
    <xf numFmtId="0" fontId="18" fillId="8" borderId="0" xfId="0" applyFont="1" applyFill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3" fillId="9" borderId="0" xfId="3" applyFont="1" applyFill="1" applyAlignment="1">
      <alignment horizontal="center" vertical="center"/>
    </xf>
    <xf numFmtId="6" fontId="9" fillId="2" borderId="15" xfId="0" applyNumberFormat="1" applyFont="1" applyFill="1" applyBorder="1" applyAlignment="1">
      <alignment horizontal="center"/>
    </xf>
    <xf numFmtId="6" fontId="9" fillId="2" borderId="17" xfId="0" applyNumberFormat="1" applyFont="1" applyFill="1" applyBorder="1" applyAlignment="1">
      <alignment horizontal="center"/>
    </xf>
    <xf numFmtId="6" fontId="9" fillId="2" borderId="16" xfId="0" applyNumberFormat="1" applyFont="1" applyFill="1" applyBorder="1" applyAlignment="1">
      <alignment horizontal="center"/>
    </xf>
    <xf numFmtId="164" fontId="8" fillId="0" borderId="0" xfId="0" applyNumberFormat="1" applyFont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</cellXfs>
  <cellStyles count="8">
    <cellStyle name="Lien hypertexte" xfId="7" builtinId="8"/>
    <cellStyle name="Milliers" xfId="1" builtinId="3"/>
    <cellStyle name="Monétaire" xfId="2" builtinId="4"/>
    <cellStyle name="Normal" xfId="0" builtinId="0"/>
    <cellStyle name="Normal 4" xfId="3" xr:uid="{36CC2BCB-4A36-4B12-88E2-AA06AFB09669}"/>
    <cellStyle name="Normal 5" xfId="4" xr:uid="{CC77C5F2-51EE-4F00-A106-026949F36864}"/>
    <cellStyle name="Pourcentage" xfId="6" builtinId="5"/>
    <cellStyle name="total devise 2" xfId="5" xr:uid="{ADFCFAE6-4B26-41B3-B20E-DDB3BC112CDE}"/>
  </cellStyles>
  <dxfs count="21">
    <dxf>
      <font>
        <color theme="9" tint="-0.24994659260841701"/>
      </font>
    </dxf>
    <dxf>
      <font>
        <color theme="9" tint="-0.24994659260841701"/>
      </font>
      <fill>
        <patternFill>
          <fgColor auto="1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92D050"/>
        </patternFill>
      </fill>
    </dxf>
    <dxf>
      <font>
        <color theme="5"/>
      </font>
    </dxf>
    <dxf>
      <font>
        <color theme="0" tint="-4.9989318521683403E-2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lor theme="0" tint="-0.14996795556505021"/>
      </font>
    </dxf>
    <dxf>
      <font>
        <color theme="0" tint="-4.9989318521683403E-2"/>
      </font>
    </dxf>
    <dxf>
      <font>
        <color theme="5"/>
      </font>
    </dxf>
    <dxf>
      <font>
        <color theme="0"/>
      </font>
      <fill>
        <patternFill>
          <bgColor rgb="FF92D050"/>
        </patternFill>
      </fill>
    </dxf>
    <dxf>
      <font>
        <color theme="0"/>
      </font>
    </dxf>
    <dxf>
      <font>
        <strike val="0"/>
        <outline val="0"/>
        <shadow val="0"/>
        <u val="none"/>
        <vertAlign val="baseline"/>
        <sz val="9"/>
        <color auto="1"/>
        <name val="Tw Cen MT"/>
        <family val="2"/>
        <scheme val="none"/>
      </font>
      <fill>
        <patternFill>
          <bgColor theme="0"/>
        </patternFill>
      </fill>
      <border>
        <left style="thin">
          <color theme="4"/>
        </left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Tw Cen MT"/>
        <family val="2"/>
        <scheme val="none"/>
      </font>
      <fill>
        <patternFill>
          <bgColor theme="0"/>
        </patternFill>
      </fill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  <protection locked="1" hidden="0"/>
    </dxf>
    <dxf>
      <alignment horizontal="center" vertical="center" textRotation="0" wrapText="0" indent="0" justifyLastLine="0" shrinkToFit="0" readingOrder="0"/>
      <border outline="0">
        <right style="thin">
          <color theme="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w Cen MT"/>
        <family val="2"/>
        <scheme val="none"/>
      </font>
      <fill>
        <patternFill>
          <bgColor theme="8"/>
        </patternFill>
      </fill>
      <alignment horizontal="center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99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10584</xdr:colOff>
      <xdr:row>0</xdr:row>
      <xdr:rowOff>62245</xdr:rowOff>
    </xdr:from>
    <xdr:to>
      <xdr:col>3</xdr:col>
      <xdr:colOff>58633</xdr:colOff>
      <xdr:row>3</xdr:row>
      <xdr:rowOff>130386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4A4E0F3-6B01-2489-0AA2-49ABBB13A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417" y="464412"/>
          <a:ext cx="1217083" cy="66377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FF81E7-A56F-40D4-9EBB-1770D2C0A641}" name="Tableau1" displayName="Tableau1" ref="A38:F47" totalsRowShown="0" headerRowDxfId="20">
  <autoFilter ref="A38:F47" xr:uid="{BEFF81E7-A56F-40D4-9EBB-1770D2C0A64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B70FDFE-BDB6-4685-9E28-5615CD995101}" name="éco-régime maillage"/>
    <tableColumn id="2" xr3:uid="{99DA1EF8-A0D2-432F-A58A-01ABA700AF0F}" name="Quantité"/>
    <tableColumn id="3" xr3:uid="{747CD68E-9017-4F65-AA11-8F17DF6DEF56}" name="Subvention"/>
    <tableColumn id="4" xr3:uid="{C8B1BDD8-F3DC-4DEF-90E4-087E2006F03D}" name="€ éco-régime/an" dataDxfId="19"/>
    <tableColumn id="5" xr3:uid="{7D375E72-B74C-4DA9-A7F6-9157E153A639}" name="Indice de Conversion" dataDxfId="18"/>
    <tableColumn id="6" xr3:uid="{99715F80-9B36-44E6-9907-ED3B5D1EDF6A}" name="Surface comptabilisée (ha)" dataDxfId="17">
      <calculatedColumnFormula>(B39*30)/10000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tbreuskin@faune-biotopes.be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65FB2-7232-4FE4-8E27-C39AB539A8B1}">
  <sheetPr>
    <pageSetUpPr fitToPage="1"/>
  </sheetPr>
  <dimension ref="A1:AS295"/>
  <sheetViews>
    <sheetView showGridLines="0" tabSelected="1" view="pageLayout" topLeftCell="A56" zoomScale="130" zoomScaleNormal="80" zoomScaleSheetLayoutView="80" zoomScalePageLayoutView="130" workbookViewId="0">
      <selection activeCell="B41" sqref="B41"/>
    </sheetView>
  </sheetViews>
  <sheetFormatPr baseColWidth="10" defaultColWidth="11.42578125" defaultRowHeight="15.75" x14ac:dyDescent="0.25"/>
  <cols>
    <col min="1" max="1" width="34" style="2" customWidth="1"/>
    <col min="2" max="6" width="18" style="2" customWidth="1"/>
    <col min="7" max="7" width="6.140625" style="2" customWidth="1"/>
    <col min="8" max="9" width="11.42578125" style="2" hidden="1" customWidth="1"/>
    <col min="10" max="10" width="6.28515625" style="2" hidden="1" customWidth="1"/>
    <col min="11" max="11" width="26.28515625" style="2" hidden="1" customWidth="1"/>
    <col min="12" max="12" width="15.28515625" style="2" hidden="1" customWidth="1"/>
    <col min="13" max="14" width="19.7109375" style="2" hidden="1" customWidth="1"/>
    <col min="15" max="15" width="11.7109375" style="2" hidden="1" customWidth="1"/>
    <col min="16" max="16" width="24.42578125" style="2" hidden="1" customWidth="1"/>
    <col min="17" max="18" width="11.42578125" style="2" hidden="1" customWidth="1"/>
    <col min="19" max="19" width="25.7109375" style="2" hidden="1" customWidth="1"/>
    <col min="20" max="20" width="26.42578125" style="2" hidden="1" customWidth="1"/>
    <col min="21" max="21" width="11.7109375" style="2" hidden="1" customWidth="1"/>
    <col min="22" max="22" width="15.5703125" style="2" hidden="1" customWidth="1"/>
    <col min="23" max="23" width="15.7109375" style="2" hidden="1" customWidth="1"/>
    <col min="24" max="25" width="11.7109375" style="2" hidden="1" customWidth="1"/>
    <col min="26" max="27" width="11.42578125" style="2" hidden="1" customWidth="1"/>
    <col min="28" max="29" width="0" style="6" hidden="1" customWidth="1"/>
    <col min="30" max="45" width="11.42578125" style="6"/>
    <col min="46" max="16384" width="11.42578125" style="2"/>
  </cols>
  <sheetData>
    <row r="1" spans="1:45" s="6" customFormat="1" x14ac:dyDescent="0.25"/>
    <row r="2" spans="1:45" s="6" customFormat="1" x14ac:dyDescent="0.25"/>
    <row r="3" spans="1:45" s="6" customFormat="1" x14ac:dyDescent="0.25"/>
    <row r="4" spans="1:45" s="6" customFormat="1" x14ac:dyDescent="0.25"/>
    <row r="5" spans="1:45" s="64" customFormat="1" ht="35.25" customHeight="1" x14ac:dyDescent="0.25">
      <c r="A5" s="140" t="s">
        <v>110</v>
      </c>
      <c r="B5" s="140"/>
      <c r="C5" s="140"/>
      <c r="D5" s="140"/>
      <c r="E5" s="140"/>
      <c r="F5" s="140"/>
      <c r="G5" s="6"/>
      <c r="H5" s="59"/>
      <c r="I5" s="60"/>
      <c r="J5" s="61"/>
      <c r="K5" s="61"/>
      <c r="L5" s="6"/>
      <c r="M5" s="62"/>
      <c r="N5" s="63"/>
    </row>
    <row r="6" spans="1:45" s="13" customFormat="1" ht="20.25" customHeight="1" x14ac:dyDescent="0.3">
      <c r="A6" s="131" t="s">
        <v>121</v>
      </c>
      <c r="B6" s="131"/>
      <c r="C6" s="131"/>
      <c r="D6" s="131"/>
      <c r="E6" s="131"/>
      <c r="F6" s="131"/>
      <c r="H6" s="14"/>
      <c r="I6" s="15"/>
      <c r="J6" s="16"/>
      <c r="K6" s="16"/>
      <c r="L6" s="17"/>
      <c r="M6" s="18"/>
      <c r="N6" s="19"/>
    </row>
    <row r="7" spans="1:45" s="6" customFormat="1" x14ac:dyDescent="0.25">
      <c r="A7" s="58" t="s">
        <v>96</v>
      </c>
      <c r="B7" s="58" t="s">
        <v>90</v>
      </c>
      <c r="D7" s="65"/>
      <c r="E7" s="66"/>
      <c r="F7" s="65"/>
    </row>
    <row r="8" spans="1:45" x14ac:dyDescent="0.25">
      <c r="A8" s="43" t="s">
        <v>114</v>
      </c>
      <c r="B8" s="41">
        <v>0</v>
      </c>
      <c r="C8" s="6"/>
      <c r="D8" s="67"/>
      <c r="E8" s="42"/>
      <c r="F8" s="68"/>
    </row>
    <row r="9" spans="1:45" x14ac:dyDescent="0.25">
      <c r="A9" s="43" t="s">
        <v>112</v>
      </c>
      <c r="B9" s="41">
        <v>0</v>
      </c>
      <c r="C9" s="6"/>
      <c r="D9" s="67"/>
      <c r="E9" s="42"/>
      <c r="F9" s="68"/>
    </row>
    <row r="10" spans="1:45" s="6" customFormat="1" x14ac:dyDescent="0.25">
      <c r="A10" s="101" t="s">
        <v>89</v>
      </c>
      <c r="B10" s="102">
        <f>B8+B9</f>
        <v>0</v>
      </c>
      <c r="D10" s="66"/>
      <c r="E10" s="66"/>
      <c r="F10" s="66"/>
      <c r="G10" s="103"/>
    </row>
    <row r="11" spans="1:45" s="13" customFormat="1" ht="13.5" customHeight="1" x14ac:dyDescent="0.3">
      <c r="A11" s="104"/>
      <c r="B11" s="104"/>
      <c r="C11" s="104"/>
      <c r="D11" s="104"/>
      <c r="E11" s="104"/>
      <c r="F11" s="104"/>
      <c r="H11" s="14"/>
      <c r="I11" s="15"/>
      <c r="J11" s="16"/>
      <c r="K11" s="16"/>
      <c r="L11" s="17"/>
      <c r="M11" s="18"/>
      <c r="N11" s="19"/>
    </row>
    <row r="12" spans="1:45" s="6" customFormat="1" ht="20.25" customHeight="1" thickBot="1" x14ac:dyDescent="0.3">
      <c r="A12" s="131" t="s">
        <v>92</v>
      </c>
      <c r="B12" s="131"/>
      <c r="C12" s="131"/>
      <c r="D12" s="131"/>
      <c r="E12" s="131"/>
      <c r="F12" s="131"/>
      <c r="H12" s="105"/>
      <c r="I12" s="106"/>
      <c r="J12" s="107"/>
      <c r="K12" s="107"/>
      <c r="L12" s="64"/>
      <c r="M12" s="108"/>
      <c r="N12" s="109"/>
    </row>
    <row r="13" spans="1:45" s="10" customFormat="1" ht="15.75" customHeight="1" thickBot="1" x14ac:dyDescent="0.25">
      <c r="A13" s="7" t="s">
        <v>30</v>
      </c>
      <c r="B13" s="8" t="s">
        <v>0</v>
      </c>
      <c r="C13" s="8" t="s">
        <v>107</v>
      </c>
      <c r="D13" s="8" t="s">
        <v>113</v>
      </c>
      <c r="E13" s="8" t="s">
        <v>33</v>
      </c>
      <c r="F13" s="8" t="s">
        <v>71</v>
      </c>
      <c r="H13" s="69" t="s">
        <v>26</v>
      </c>
      <c r="I13" s="69" t="s">
        <v>28</v>
      </c>
      <c r="K13" s="20" t="s">
        <v>1</v>
      </c>
      <c r="L13" s="20" t="s">
        <v>2</v>
      </c>
      <c r="S13" s="70" t="s">
        <v>18</v>
      </c>
      <c r="T13" s="21" t="s">
        <v>12</v>
      </c>
      <c r="U13" s="21" t="s">
        <v>13</v>
      </c>
      <c r="V13" s="21" t="s">
        <v>14</v>
      </c>
      <c r="W13" s="21" t="s">
        <v>15</v>
      </c>
      <c r="X13" s="21" t="s">
        <v>16</v>
      </c>
      <c r="Y13" s="21" t="s">
        <v>17</v>
      </c>
      <c r="Z13" s="7"/>
    </row>
    <row r="14" spans="1:45" s="1" customFormat="1" ht="13.5" thickBot="1" x14ac:dyDescent="0.25">
      <c r="A14" s="47" t="s">
        <v>75</v>
      </c>
      <c r="B14" s="54">
        <v>0</v>
      </c>
      <c r="C14" s="54">
        <v>0</v>
      </c>
      <c r="D14" s="54">
        <v>0</v>
      </c>
      <c r="E14" s="54">
        <v>0</v>
      </c>
      <c r="F14" s="52">
        <f t="shared" ref="F14:F27" si="0">SUM(B14:E14)</f>
        <v>0</v>
      </c>
      <c r="G14" s="10"/>
      <c r="H14" s="11" t="s">
        <v>27</v>
      </c>
      <c r="I14" s="22">
        <v>100</v>
      </c>
      <c r="J14" s="10"/>
      <c r="K14" s="11" t="s">
        <v>0</v>
      </c>
      <c r="L14" s="23">
        <v>1200</v>
      </c>
      <c r="M14" s="10"/>
      <c r="N14" s="10"/>
      <c r="O14" s="10"/>
      <c r="P14" s="10"/>
      <c r="Q14" s="10"/>
      <c r="R14" s="10"/>
      <c r="S14" s="24" t="s">
        <v>3</v>
      </c>
      <c r="T14" s="21">
        <v>180</v>
      </c>
      <c r="U14" s="21"/>
      <c r="V14" s="21">
        <v>300</v>
      </c>
      <c r="W14" s="21">
        <v>180</v>
      </c>
      <c r="X14" s="21">
        <v>300</v>
      </c>
      <c r="Y14" s="21">
        <v>300</v>
      </c>
      <c r="Z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</row>
    <row r="15" spans="1:45" s="1" customFormat="1" ht="13.5" thickBot="1" x14ac:dyDescent="0.25">
      <c r="A15" s="48" t="s">
        <v>76</v>
      </c>
      <c r="B15" s="55">
        <v>0</v>
      </c>
      <c r="C15" s="55">
        <v>0</v>
      </c>
      <c r="D15" s="55">
        <v>0</v>
      </c>
      <c r="E15" s="55">
        <v>0</v>
      </c>
      <c r="F15" s="53">
        <f t="shared" si="0"/>
        <v>0</v>
      </c>
      <c r="G15" s="10"/>
      <c r="H15" s="11" t="s">
        <v>29</v>
      </c>
      <c r="I15" s="22">
        <v>0</v>
      </c>
      <c r="J15" s="10"/>
      <c r="K15" s="11" t="s">
        <v>31</v>
      </c>
      <c r="L15" s="23">
        <v>1200</v>
      </c>
      <c r="M15" s="10"/>
      <c r="N15" s="10"/>
      <c r="O15" s="10"/>
      <c r="P15" s="10"/>
      <c r="Q15" s="10"/>
      <c r="R15" s="10"/>
      <c r="S15" s="24" t="s">
        <v>4</v>
      </c>
      <c r="T15" s="21">
        <v>95</v>
      </c>
      <c r="U15" s="21">
        <v>95</v>
      </c>
      <c r="V15" s="21">
        <v>262</v>
      </c>
      <c r="W15" s="21">
        <v>95</v>
      </c>
      <c r="X15" s="21">
        <v>248</v>
      </c>
      <c r="Y15" s="21">
        <v>248</v>
      </c>
      <c r="Z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</row>
    <row r="16" spans="1:45" s="1" customFormat="1" ht="13.5" thickBot="1" x14ac:dyDescent="0.25">
      <c r="A16" s="47" t="s">
        <v>77</v>
      </c>
      <c r="B16" s="54">
        <v>0</v>
      </c>
      <c r="C16" s="54">
        <v>0</v>
      </c>
      <c r="D16" s="54">
        <v>0</v>
      </c>
      <c r="E16" s="54">
        <v>0</v>
      </c>
      <c r="F16" s="52">
        <f t="shared" si="0"/>
        <v>0</v>
      </c>
      <c r="G16" s="10"/>
      <c r="H16" s="10"/>
      <c r="I16" s="25">
        <f>SUM(I14:I15)</f>
        <v>100</v>
      </c>
      <c r="J16" s="10"/>
      <c r="K16" s="11" t="s">
        <v>32</v>
      </c>
      <c r="L16" s="23">
        <v>2000</v>
      </c>
      <c r="M16" s="10"/>
      <c r="N16" s="10"/>
      <c r="O16" s="10"/>
      <c r="P16" s="10"/>
      <c r="Q16" s="10"/>
      <c r="R16" s="10"/>
      <c r="S16" s="24" t="s">
        <v>5</v>
      </c>
      <c r="T16" s="21">
        <v>105</v>
      </c>
      <c r="U16" s="21"/>
      <c r="V16" s="21">
        <v>80</v>
      </c>
      <c r="W16" s="21">
        <v>105</v>
      </c>
      <c r="X16" s="21">
        <v>80</v>
      </c>
      <c r="Y16" s="21">
        <v>80</v>
      </c>
      <c r="Z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</row>
    <row r="17" spans="1:45" s="1" customFormat="1" ht="13.5" thickBot="1" x14ac:dyDescent="0.25">
      <c r="A17" s="48" t="s">
        <v>78</v>
      </c>
      <c r="B17" s="55">
        <v>0</v>
      </c>
      <c r="C17" s="55">
        <v>0</v>
      </c>
      <c r="D17" s="55">
        <v>0</v>
      </c>
      <c r="E17" s="55">
        <v>0</v>
      </c>
      <c r="F17" s="53">
        <f t="shared" si="0"/>
        <v>0</v>
      </c>
      <c r="G17" s="10"/>
      <c r="H17" s="10"/>
      <c r="I17" s="10"/>
      <c r="J17" s="10"/>
      <c r="K17" s="11" t="s">
        <v>51</v>
      </c>
      <c r="L17" s="26">
        <v>1050</v>
      </c>
      <c r="M17" s="10"/>
      <c r="N17" s="10"/>
      <c r="O17" s="10"/>
      <c r="P17" s="10"/>
      <c r="Q17" s="10"/>
      <c r="R17" s="10"/>
      <c r="S17" s="24" t="s">
        <v>6</v>
      </c>
      <c r="T17" s="21">
        <v>480</v>
      </c>
      <c r="U17" s="21"/>
      <c r="V17" s="21">
        <v>589.25</v>
      </c>
      <c r="W17" s="21">
        <v>370</v>
      </c>
      <c r="X17" s="21">
        <v>450</v>
      </c>
      <c r="Y17" s="21">
        <v>450</v>
      </c>
      <c r="Z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</row>
    <row r="18" spans="1:45" s="1" customFormat="1" ht="13.5" thickBot="1" x14ac:dyDescent="0.25">
      <c r="A18" s="47" t="s">
        <v>79</v>
      </c>
      <c r="B18" s="54">
        <v>0</v>
      </c>
      <c r="C18" s="54">
        <v>0</v>
      </c>
      <c r="D18" s="54">
        <v>0</v>
      </c>
      <c r="E18" s="54">
        <v>0</v>
      </c>
      <c r="F18" s="52">
        <f t="shared" si="0"/>
        <v>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24" t="s">
        <v>115</v>
      </c>
      <c r="T18" s="21">
        <v>175</v>
      </c>
      <c r="U18" s="21"/>
      <c r="V18" s="21">
        <v>150</v>
      </c>
      <c r="W18" s="21">
        <v>175</v>
      </c>
      <c r="X18" s="21">
        <v>50</v>
      </c>
      <c r="Y18" s="21">
        <v>50</v>
      </c>
      <c r="Z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</row>
    <row r="19" spans="1:45" s="1" customFormat="1" ht="13.5" thickBot="1" x14ac:dyDescent="0.25">
      <c r="A19" s="48" t="s">
        <v>80</v>
      </c>
      <c r="B19" s="55">
        <v>0</v>
      </c>
      <c r="C19" s="55">
        <v>0</v>
      </c>
      <c r="D19" s="55">
        <v>0</v>
      </c>
      <c r="E19" s="55">
        <v>0</v>
      </c>
      <c r="F19" s="53">
        <f t="shared" si="0"/>
        <v>0</v>
      </c>
      <c r="G19" s="10"/>
      <c r="H19" s="7"/>
      <c r="I19" s="8"/>
      <c r="J19" s="10"/>
      <c r="K19" s="20" t="s">
        <v>56</v>
      </c>
      <c r="L19" s="20" t="s">
        <v>50</v>
      </c>
      <c r="M19" s="20" t="s">
        <v>40</v>
      </c>
      <c r="N19" s="20" t="s">
        <v>2</v>
      </c>
      <c r="O19" s="20" t="s">
        <v>41</v>
      </c>
      <c r="P19" s="20" t="s">
        <v>49</v>
      </c>
      <c r="Q19" s="10"/>
      <c r="R19" s="10"/>
      <c r="S19" s="24" t="s">
        <v>8</v>
      </c>
      <c r="T19" s="21">
        <v>260</v>
      </c>
      <c r="U19" s="21"/>
      <c r="V19" s="21">
        <v>450</v>
      </c>
      <c r="W19" s="21">
        <v>260</v>
      </c>
      <c r="X19" s="21">
        <v>130</v>
      </c>
      <c r="Y19" s="21">
        <v>130</v>
      </c>
      <c r="Z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</row>
    <row r="20" spans="1:45" s="1" customFormat="1" ht="12.75" x14ac:dyDescent="0.2">
      <c r="A20" s="47" t="s">
        <v>81</v>
      </c>
      <c r="B20" s="54">
        <v>0</v>
      </c>
      <c r="C20" s="54">
        <v>0</v>
      </c>
      <c r="D20" s="54">
        <v>0</v>
      </c>
      <c r="E20" s="54">
        <v>0</v>
      </c>
      <c r="F20" s="52">
        <f t="shared" si="0"/>
        <v>0</v>
      </c>
      <c r="G20" s="10"/>
      <c r="H20" s="10"/>
      <c r="I20" s="9"/>
      <c r="J20" s="10"/>
      <c r="K20" s="27" t="s">
        <v>34</v>
      </c>
      <c r="L20" s="28">
        <v>1</v>
      </c>
      <c r="M20" s="29" t="s">
        <v>42</v>
      </c>
      <c r="N20" s="30" t="s">
        <v>64</v>
      </c>
      <c r="O20" s="31">
        <f>(L20*30)/10000</f>
        <v>3.0000000000000001E-3</v>
      </c>
      <c r="P20" s="32">
        <f>L20*1.05</f>
        <v>1.05</v>
      </c>
      <c r="Q20" s="10"/>
      <c r="R20" s="10"/>
      <c r="S20" s="24" t="s">
        <v>9</v>
      </c>
      <c r="T20" s="21">
        <v>200</v>
      </c>
      <c r="U20" s="21"/>
      <c r="V20" s="21">
        <v>350</v>
      </c>
      <c r="W20" s="21">
        <v>200</v>
      </c>
      <c r="X20" s="21">
        <v>420</v>
      </c>
      <c r="Y20" s="21">
        <v>250</v>
      </c>
      <c r="Z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</row>
    <row r="21" spans="1:45" s="1" customFormat="1" ht="12.75" x14ac:dyDescent="0.2">
      <c r="A21" s="48" t="s">
        <v>82</v>
      </c>
      <c r="B21" s="55">
        <v>0</v>
      </c>
      <c r="C21" s="55">
        <v>0</v>
      </c>
      <c r="D21" s="55">
        <v>0</v>
      </c>
      <c r="E21" s="55">
        <v>0</v>
      </c>
      <c r="F21" s="53">
        <f t="shared" si="0"/>
        <v>0</v>
      </c>
      <c r="G21" s="10"/>
      <c r="H21" s="10"/>
      <c r="I21" s="9"/>
      <c r="J21" s="10"/>
      <c r="K21" s="33" t="s">
        <v>35</v>
      </c>
      <c r="L21" s="34">
        <v>100</v>
      </c>
      <c r="M21" s="35" t="s">
        <v>43</v>
      </c>
      <c r="N21" s="35" t="s">
        <v>61</v>
      </c>
      <c r="O21" s="36">
        <f>(L21*10)/10000</f>
        <v>0.1</v>
      </c>
      <c r="P21" s="37">
        <f>L21*0.35</f>
        <v>35</v>
      </c>
      <c r="Q21" s="10"/>
      <c r="R21" s="10"/>
      <c r="S21" s="24" t="s">
        <v>10</v>
      </c>
      <c r="T21" s="21">
        <v>125</v>
      </c>
      <c r="U21" s="21"/>
      <c r="V21" s="21"/>
      <c r="W21" s="21">
        <v>112</v>
      </c>
      <c r="X21" s="21">
        <v>125</v>
      </c>
      <c r="Y21" s="21">
        <v>125</v>
      </c>
      <c r="Z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</row>
    <row r="22" spans="1:45" s="1" customFormat="1" ht="12.75" x14ac:dyDescent="0.2">
      <c r="A22" s="47" t="s">
        <v>83</v>
      </c>
      <c r="B22" s="54">
        <v>0</v>
      </c>
      <c r="C22" s="54">
        <v>0</v>
      </c>
      <c r="D22" s="54">
        <v>0</v>
      </c>
      <c r="E22" s="54">
        <v>0</v>
      </c>
      <c r="F22" s="52">
        <f t="shared" si="0"/>
        <v>0</v>
      </c>
      <c r="G22" s="10"/>
      <c r="H22" s="10"/>
      <c r="I22" s="9"/>
      <c r="J22" s="10"/>
      <c r="K22" s="33"/>
      <c r="L22" s="34"/>
      <c r="M22" s="35"/>
      <c r="N22" s="35"/>
      <c r="O22" s="36"/>
      <c r="P22" s="37"/>
      <c r="Q22" s="10"/>
      <c r="R22" s="10"/>
      <c r="S22" s="38"/>
      <c r="T22" s="39"/>
      <c r="U22" s="39"/>
      <c r="V22" s="39"/>
      <c r="W22" s="39"/>
      <c r="X22" s="39"/>
      <c r="Y22" s="39"/>
      <c r="Z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</row>
    <row r="23" spans="1:45" s="1" customFormat="1" ht="12.75" x14ac:dyDescent="0.2">
      <c r="A23" s="48" t="s">
        <v>84</v>
      </c>
      <c r="B23" s="55">
        <v>0</v>
      </c>
      <c r="C23" s="55">
        <v>0</v>
      </c>
      <c r="D23" s="55">
        <v>0</v>
      </c>
      <c r="E23" s="55">
        <v>0</v>
      </c>
      <c r="F23" s="53">
        <f t="shared" si="0"/>
        <v>0</v>
      </c>
      <c r="G23" s="10"/>
      <c r="H23" s="10"/>
      <c r="I23" s="9"/>
      <c r="J23" s="10"/>
      <c r="K23" s="33"/>
      <c r="L23" s="34"/>
      <c r="M23" s="35"/>
      <c r="N23" s="35"/>
      <c r="O23" s="36"/>
      <c r="P23" s="37"/>
      <c r="Q23" s="10"/>
      <c r="R23" s="10"/>
      <c r="S23" s="38"/>
      <c r="T23" s="39"/>
      <c r="U23" s="39"/>
      <c r="V23" s="39"/>
      <c r="W23" s="39"/>
      <c r="X23" s="39"/>
      <c r="Y23" s="39"/>
      <c r="Z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</row>
    <row r="24" spans="1:45" s="1" customFormat="1" ht="12.75" x14ac:dyDescent="0.2">
      <c r="A24" s="47" t="s">
        <v>85</v>
      </c>
      <c r="B24" s="54">
        <v>0</v>
      </c>
      <c r="C24" s="54">
        <v>0</v>
      </c>
      <c r="D24" s="54">
        <v>0</v>
      </c>
      <c r="E24" s="54">
        <v>0</v>
      </c>
      <c r="F24" s="52">
        <f t="shared" si="0"/>
        <v>0</v>
      </c>
      <c r="G24" s="10"/>
      <c r="H24" s="10"/>
      <c r="I24" s="9"/>
      <c r="J24" s="10"/>
      <c r="K24" s="33"/>
      <c r="L24" s="34"/>
      <c r="M24" s="35"/>
      <c r="N24" s="35"/>
      <c r="O24" s="36"/>
      <c r="P24" s="37"/>
      <c r="Q24" s="10"/>
      <c r="R24" s="10"/>
      <c r="S24" s="38"/>
      <c r="T24" s="39"/>
      <c r="U24" s="39"/>
      <c r="V24" s="39"/>
      <c r="W24" s="39"/>
      <c r="X24" s="39"/>
      <c r="Y24" s="39"/>
      <c r="Z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</row>
    <row r="25" spans="1:45" s="1" customFormat="1" ht="12.75" x14ac:dyDescent="0.2">
      <c r="A25" s="48" t="s">
        <v>86</v>
      </c>
      <c r="B25" s="55">
        <v>0</v>
      </c>
      <c r="C25" s="55">
        <v>0</v>
      </c>
      <c r="D25" s="55">
        <v>0</v>
      </c>
      <c r="E25" s="55">
        <v>0</v>
      </c>
      <c r="F25" s="53">
        <f t="shared" si="0"/>
        <v>0</v>
      </c>
      <c r="G25" s="10"/>
      <c r="H25" s="10"/>
      <c r="I25" s="9"/>
      <c r="J25" s="10"/>
      <c r="K25" s="33"/>
      <c r="L25" s="34"/>
      <c r="M25" s="35"/>
      <c r="N25" s="35"/>
      <c r="O25" s="36"/>
      <c r="P25" s="37"/>
      <c r="Q25" s="10"/>
      <c r="R25" s="10"/>
      <c r="S25" s="38"/>
      <c r="T25" s="39"/>
      <c r="U25" s="39"/>
      <c r="V25" s="39"/>
      <c r="W25" s="39"/>
      <c r="X25" s="39"/>
      <c r="Y25" s="39"/>
      <c r="Z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</row>
    <row r="26" spans="1:45" s="1" customFormat="1" ht="12.75" x14ac:dyDescent="0.2">
      <c r="A26" s="47" t="s">
        <v>87</v>
      </c>
      <c r="B26" s="54">
        <v>0</v>
      </c>
      <c r="C26" s="54">
        <v>0</v>
      </c>
      <c r="D26" s="54">
        <v>0</v>
      </c>
      <c r="E26" s="54">
        <v>0</v>
      </c>
      <c r="F26" s="52">
        <f t="shared" si="0"/>
        <v>0</v>
      </c>
      <c r="G26" s="10"/>
      <c r="H26" s="10"/>
      <c r="I26" s="9"/>
      <c r="J26" s="10"/>
      <c r="K26" s="33"/>
      <c r="L26" s="34"/>
      <c r="M26" s="35"/>
      <c r="N26" s="35"/>
      <c r="O26" s="36"/>
      <c r="P26" s="37"/>
      <c r="Q26" s="10"/>
      <c r="R26" s="10"/>
      <c r="S26" s="38"/>
      <c r="T26" s="39"/>
      <c r="U26" s="39"/>
      <c r="V26" s="39"/>
      <c r="W26" s="39"/>
      <c r="X26" s="39"/>
      <c r="Y26" s="39"/>
      <c r="Z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</row>
    <row r="27" spans="1:45" s="1" customFormat="1" ht="12.75" x14ac:dyDescent="0.2">
      <c r="A27" s="48" t="s">
        <v>88</v>
      </c>
      <c r="B27" s="55">
        <v>0</v>
      </c>
      <c r="C27" s="55">
        <v>0</v>
      </c>
      <c r="D27" s="55">
        <v>0</v>
      </c>
      <c r="E27" s="55">
        <v>0</v>
      </c>
      <c r="F27" s="53">
        <f t="shared" si="0"/>
        <v>0</v>
      </c>
      <c r="G27" s="10"/>
      <c r="H27" s="10"/>
      <c r="I27" s="9"/>
      <c r="J27" s="10"/>
      <c r="K27" s="33"/>
      <c r="L27" s="34"/>
      <c r="M27" s="35"/>
      <c r="N27" s="35"/>
      <c r="O27" s="36"/>
      <c r="P27" s="37"/>
      <c r="Q27" s="10"/>
      <c r="R27" s="10"/>
      <c r="S27" s="38"/>
      <c r="T27" s="39"/>
      <c r="U27" s="39"/>
      <c r="V27" s="39"/>
      <c r="W27" s="39"/>
      <c r="X27" s="39"/>
      <c r="Y27" s="39"/>
      <c r="Z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</row>
    <row r="28" spans="1:45" s="10" customFormat="1" ht="12.75" x14ac:dyDescent="0.2">
      <c r="A28" s="3"/>
      <c r="B28" s="9"/>
      <c r="C28" s="9"/>
      <c r="D28" s="9"/>
      <c r="E28" s="9"/>
      <c r="F28" s="9"/>
      <c r="I28" s="9"/>
      <c r="K28" s="33"/>
      <c r="L28" s="34"/>
      <c r="M28" s="35"/>
      <c r="N28" s="35"/>
      <c r="O28" s="36"/>
      <c r="P28" s="37"/>
      <c r="S28" s="38"/>
      <c r="T28" s="39"/>
      <c r="U28" s="39"/>
      <c r="V28" s="39"/>
      <c r="W28" s="39"/>
      <c r="X28" s="39"/>
      <c r="Y28" s="39"/>
    </row>
    <row r="29" spans="1:45" s="10" customFormat="1" ht="13.5" thickBot="1" x14ac:dyDescent="0.25">
      <c r="A29" s="10" t="s">
        <v>68</v>
      </c>
      <c r="B29" s="9">
        <f>SUM(B14:B27)</f>
        <v>0</v>
      </c>
      <c r="C29" s="9">
        <f>SUM(C14:C27)</f>
        <v>0</v>
      </c>
      <c r="D29" s="9">
        <f>SUM(D14:D27)</f>
        <v>0</v>
      </c>
      <c r="E29" s="9">
        <f>SUM(E14:E27)</f>
        <v>0</v>
      </c>
      <c r="F29" s="46">
        <f t="shared" ref="F29:F34" si="1">SUM(B29:E29)</f>
        <v>0</v>
      </c>
      <c r="I29" s="9"/>
      <c r="K29" s="33" t="s">
        <v>36</v>
      </c>
      <c r="L29" s="34">
        <v>0</v>
      </c>
      <c r="M29" s="35" t="s">
        <v>44</v>
      </c>
      <c r="N29" s="35" t="s">
        <v>60</v>
      </c>
      <c r="O29" s="36">
        <f>(L29*1.5)/10000</f>
        <v>0</v>
      </c>
      <c r="P29" s="37">
        <f>L29*0.052</f>
        <v>0</v>
      </c>
      <c r="S29" s="38" t="s">
        <v>11</v>
      </c>
      <c r="T29" s="39"/>
      <c r="U29" s="39"/>
      <c r="V29" s="39"/>
      <c r="W29" s="39"/>
      <c r="X29" s="39"/>
      <c r="Y29" s="39"/>
    </row>
    <row r="30" spans="1:45" s="10" customFormat="1" ht="12.75" x14ac:dyDescent="0.2">
      <c r="A30" s="3" t="s">
        <v>69</v>
      </c>
      <c r="B30" s="71">
        <f>B29*'Estimation rotation conv.'!B2</f>
        <v>0</v>
      </c>
      <c r="C30" s="45">
        <f>C29*'Estimation rotation conv.'!B3</f>
        <v>0</v>
      </c>
      <c r="D30" s="71">
        <f>D29*'Estimation rotation conv.'!B3</f>
        <v>0</v>
      </c>
      <c r="E30" s="45">
        <f>E29*'Estimation rotation conv.'!B3</f>
        <v>0</v>
      </c>
      <c r="F30" s="71">
        <f t="shared" si="1"/>
        <v>0</v>
      </c>
      <c r="I30" s="9"/>
      <c r="K30" s="33" t="s">
        <v>58</v>
      </c>
      <c r="L30" s="34">
        <v>0</v>
      </c>
      <c r="M30" s="35" t="s">
        <v>45</v>
      </c>
      <c r="N30" s="35" t="s">
        <v>60</v>
      </c>
      <c r="O30" s="36">
        <f>L30*1.5</f>
        <v>0</v>
      </c>
      <c r="P30" s="37">
        <f>L30*675</f>
        <v>0</v>
      </c>
      <c r="S30" s="134" t="s">
        <v>19</v>
      </c>
      <c r="T30" s="134">
        <f t="shared" ref="T30:Y30" si="2">SUM(T14:T29)</f>
        <v>1620</v>
      </c>
      <c r="U30" s="136">
        <f t="shared" si="2"/>
        <v>95</v>
      </c>
      <c r="V30" s="138">
        <f t="shared" si="2"/>
        <v>2181.25</v>
      </c>
      <c r="W30" s="138">
        <f t="shared" si="2"/>
        <v>1497</v>
      </c>
      <c r="X30" s="132">
        <f t="shared" si="2"/>
        <v>1803</v>
      </c>
      <c r="Y30" s="132">
        <f t="shared" si="2"/>
        <v>1633</v>
      </c>
    </row>
    <row r="31" spans="1:45" s="10" customFormat="1" ht="13.5" thickBot="1" x14ac:dyDescent="0.25">
      <c r="A31" s="3" t="s">
        <v>72</v>
      </c>
      <c r="B31" s="45">
        <f>(250/5)*B29</f>
        <v>0</v>
      </c>
      <c r="C31" s="45">
        <f>(160/5)*C29</f>
        <v>0</v>
      </c>
      <c r="D31" s="45">
        <f>(350)*D29</f>
        <v>0</v>
      </c>
      <c r="E31" s="45">
        <f>(1000/5)*E29</f>
        <v>0</v>
      </c>
      <c r="F31" s="71">
        <f>SUM(B31:E31)</f>
        <v>0</v>
      </c>
      <c r="H31" s="7"/>
      <c r="I31" s="8"/>
      <c r="K31" s="33" t="s">
        <v>57</v>
      </c>
      <c r="L31" s="34">
        <v>1</v>
      </c>
      <c r="M31" s="35" t="s">
        <v>59</v>
      </c>
      <c r="N31" s="35" t="s">
        <v>62</v>
      </c>
      <c r="O31" s="36">
        <f>L31*2</f>
        <v>2</v>
      </c>
      <c r="P31" s="37">
        <f>L31*(700-110-95-105)</f>
        <v>390</v>
      </c>
      <c r="S31" s="135"/>
      <c r="T31" s="135"/>
      <c r="U31" s="137"/>
      <c r="V31" s="139"/>
      <c r="W31" s="139"/>
      <c r="X31" s="133"/>
      <c r="Y31" s="133"/>
    </row>
    <row r="32" spans="1:45" s="10" customFormat="1" ht="12.75" x14ac:dyDescent="0.2">
      <c r="A32" s="3" t="s">
        <v>73</v>
      </c>
      <c r="B32" s="45">
        <f>(('Estimation rotation conv.'!B10+'Estimation rotation conv.'!B11)/5)*B29</f>
        <v>0</v>
      </c>
      <c r="C32" s="45">
        <f>SUM(('Estimation rotation conv.'!B10+'Estimation rotation conv.'!B11)/5)*'Module biodiversité'!C29</f>
        <v>0</v>
      </c>
      <c r="D32" s="45">
        <f>('Estimation rotation conv.'!B10+'Estimation rotation conv.'!B11)*'Module biodiversité'!D29</f>
        <v>0</v>
      </c>
      <c r="E32" s="45">
        <f>(SUM(T15,T16)/5)*E29</f>
        <v>0</v>
      </c>
      <c r="F32" s="71">
        <f t="shared" si="1"/>
        <v>0</v>
      </c>
      <c r="K32" s="33" t="s">
        <v>37</v>
      </c>
      <c r="L32" s="34">
        <v>0</v>
      </c>
      <c r="M32" s="35" t="s">
        <v>46</v>
      </c>
      <c r="N32" s="75" t="s">
        <v>60</v>
      </c>
      <c r="O32" s="76">
        <f>L32</f>
        <v>0</v>
      </c>
      <c r="P32" s="37">
        <f>L32*450</f>
        <v>0</v>
      </c>
      <c r="S32" s="77" t="s">
        <v>20</v>
      </c>
      <c r="T32" s="78">
        <v>10</v>
      </c>
      <c r="U32" s="78"/>
      <c r="V32" s="78">
        <v>85</v>
      </c>
      <c r="W32" s="78">
        <v>9</v>
      </c>
      <c r="X32" s="78">
        <v>46</v>
      </c>
      <c r="Y32" s="78">
        <v>12</v>
      </c>
    </row>
    <row r="33" spans="1:45" s="10" customFormat="1" ht="12.75" x14ac:dyDescent="0.2">
      <c r="A33" s="3" t="s">
        <v>70</v>
      </c>
      <c r="B33" s="45">
        <f>(B32+B31)</f>
        <v>0</v>
      </c>
      <c r="C33" s="45">
        <f>(C32+C31)</f>
        <v>0</v>
      </c>
      <c r="D33" s="45">
        <f>D32+D31</f>
        <v>0</v>
      </c>
      <c r="E33" s="45">
        <f>SUM(E31:E32)</f>
        <v>0</v>
      </c>
      <c r="F33" s="45">
        <f t="shared" si="1"/>
        <v>0</v>
      </c>
      <c r="H33" s="7"/>
      <c r="I33" s="9"/>
      <c r="K33" s="33" t="s">
        <v>38</v>
      </c>
      <c r="L33" s="34">
        <v>0</v>
      </c>
      <c r="M33" s="35" t="s">
        <v>47</v>
      </c>
      <c r="N33" s="35" t="s">
        <v>63</v>
      </c>
      <c r="O33" s="36">
        <f>(L33*600)/10000</f>
        <v>0</v>
      </c>
      <c r="P33" s="37">
        <f>O33*270</f>
        <v>0</v>
      </c>
      <c r="S33" s="24" t="s">
        <v>21</v>
      </c>
      <c r="T33" s="21">
        <v>250</v>
      </c>
      <c r="U33" s="21"/>
      <c r="V33" s="21">
        <v>45</v>
      </c>
      <c r="W33" s="21">
        <v>240</v>
      </c>
      <c r="X33" s="21">
        <v>50</v>
      </c>
      <c r="Y33" s="21">
        <v>180</v>
      </c>
    </row>
    <row r="34" spans="1:45" s="10" customFormat="1" ht="13.5" thickBot="1" x14ac:dyDescent="0.25">
      <c r="A34" s="4" t="s">
        <v>67</v>
      </c>
      <c r="B34" s="79">
        <f>B30-B33</f>
        <v>0</v>
      </c>
      <c r="C34" s="79">
        <f>C30-C33</f>
        <v>0</v>
      </c>
      <c r="D34" s="79">
        <f>D30-D33</f>
        <v>0</v>
      </c>
      <c r="E34" s="79">
        <f>E30-E33</f>
        <v>0</v>
      </c>
      <c r="F34" s="5">
        <f t="shared" si="1"/>
        <v>0</v>
      </c>
      <c r="H34" s="7"/>
      <c r="I34" s="80"/>
      <c r="K34" s="33" t="s">
        <v>39</v>
      </c>
      <c r="L34" s="34">
        <v>0</v>
      </c>
      <c r="M34" s="35" t="s">
        <v>43</v>
      </c>
      <c r="N34" s="81">
        <v>0</v>
      </c>
      <c r="O34" s="36">
        <f>(L34*10)/10000</f>
        <v>0</v>
      </c>
      <c r="P34" s="40">
        <v>0</v>
      </c>
      <c r="S34" s="38" t="s">
        <v>22</v>
      </c>
      <c r="T34" s="39">
        <v>2500</v>
      </c>
      <c r="U34" s="39">
        <v>2100</v>
      </c>
      <c r="V34" s="39">
        <v>3825</v>
      </c>
      <c r="W34" s="39">
        <v>2160</v>
      </c>
      <c r="X34" s="39">
        <v>2300</v>
      </c>
      <c r="Y34" s="39">
        <v>2160</v>
      </c>
    </row>
    <row r="35" spans="1:45" s="10" customFormat="1" ht="13.5" thickBot="1" x14ac:dyDescent="0.25">
      <c r="A35" s="10" t="s">
        <v>122</v>
      </c>
      <c r="D35" s="82"/>
      <c r="E35" s="82"/>
      <c r="F35" s="144"/>
      <c r="K35" s="141" t="s">
        <v>48</v>
      </c>
      <c r="L35" s="142"/>
      <c r="M35" s="142"/>
      <c r="N35" s="143"/>
      <c r="O35" s="83">
        <f>SUM(O20:O34)</f>
        <v>2.1030000000000002</v>
      </c>
      <c r="P35" s="84">
        <f>SUM(P20:P34)</f>
        <v>426.05</v>
      </c>
      <c r="S35" s="73"/>
      <c r="T35" s="73"/>
      <c r="U35" s="73"/>
      <c r="V35" s="85"/>
      <c r="W35" s="72"/>
      <c r="X35" s="74"/>
      <c r="Y35" s="74"/>
    </row>
    <row r="36" spans="1:45" s="10" customFormat="1" ht="12.75" x14ac:dyDescent="0.2">
      <c r="D36" s="82"/>
      <c r="E36" s="82"/>
      <c r="F36" s="144"/>
    </row>
    <row r="37" spans="1:45" s="6" customFormat="1" ht="20.25" customHeight="1" x14ac:dyDescent="0.25">
      <c r="A37" s="86" t="s">
        <v>93</v>
      </c>
      <c r="B37" s="86"/>
      <c r="C37" s="86"/>
      <c r="D37" s="86"/>
      <c r="E37" s="110"/>
      <c r="F37" s="110"/>
    </row>
    <row r="38" spans="1:45" s="10" customFormat="1" ht="17.25" customHeight="1" x14ac:dyDescent="0.2">
      <c r="A38" s="87" t="s">
        <v>117</v>
      </c>
      <c r="B38" s="88" t="s">
        <v>100</v>
      </c>
      <c r="C38" s="88" t="s">
        <v>2</v>
      </c>
      <c r="D38" s="88" t="s">
        <v>49</v>
      </c>
      <c r="E38" s="98" t="s">
        <v>40</v>
      </c>
      <c r="F38" s="93" t="s">
        <v>109</v>
      </c>
    </row>
    <row r="39" spans="1:45" s="1" customFormat="1" ht="13.5" customHeight="1" x14ac:dyDescent="0.2">
      <c r="A39" s="51" t="s">
        <v>102</v>
      </c>
      <c r="B39" s="56">
        <v>0</v>
      </c>
      <c r="C39" s="49" t="s">
        <v>128</v>
      </c>
      <c r="D39" s="96">
        <f>B39*1.35</f>
        <v>0</v>
      </c>
      <c r="E39" s="99" t="s">
        <v>42</v>
      </c>
      <c r="F39" s="94">
        <f>(B39*30)/10000</f>
        <v>0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</row>
    <row r="40" spans="1:45" s="1" customFormat="1" ht="13.5" customHeight="1" x14ac:dyDescent="0.2">
      <c r="A40" s="10" t="s">
        <v>108</v>
      </c>
      <c r="B40" s="57">
        <v>0</v>
      </c>
      <c r="C40" s="9" t="s">
        <v>129</v>
      </c>
      <c r="D40" s="97">
        <f>B40*0.45</f>
        <v>0</v>
      </c>
      <c r="E40" s="99" t="s">
        <v>43</v>
      </c>
      <c r="F40" s="94">
        <f>(B40*10)/10000</f>
        <v>0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</row>
    <row r="41" spans="1:45" s="1" customFormat="1" ht="13.5" customHeight="1" x14ac:dyDescent="0.2">
      <c r="A41" s="51" t="s">
        <v>125</v>
      </c>
      <c r="B41" s="56">
        <v>0</v>
      </c>
      <c r="C41" s="50" t="s">
        <v>130</v>
      </c>
      <c r="D41" s="96">
        <f>B41*0.0675</f>
        <v>0</v>
      </c>
      <c r="E41" s="99" t="s">
        <v>44</v>
      </c>
      <c r="F41" s="94">
        <f>(B41*1.5)/10000</f>
        <v>0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</row>
    <row r="42" spans="1:45" s="1" customFormat="1" ht="13.5" customHeight="1" x14ac:dyDescent="0.2">
      <c r="A42" s="10" t="s">
        <v>119</v>
      </c>
      <c r="B42" s="57">
        <v>0</v>
      </c>
      <c r="C42" s="9" t="s">
        <v>130</v>
      </c>
      <c r="D42" s="97">
        <f>B42*675</f>
        <v>0</v>
      </c>
      <c r="E42" s="99" t="s">
        <v>45</v>
      </c>
      <c r="F42" s="94">
        <f>(B42*1.5)</f>
        <v>0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</row>
    <row r="43" spans="1:45" s="1" customFormat="1" ht="13.5" customHeight="1" thickBot="1" x14ac:dyDescent="0.25">
      <c r="A43" s="51" t="s">
        <v>103</v>
      </c>
      <c r="B43" s="56">
        <v>0</v>
      </c>
      <c r="C43" s="50" t="s">
        <v>127</v>
      </c>
      <c r="D43" s="96">
        <f>B43*(900-110-95-105)</f>
        <v>0</v>
      </c>
      <c r="E43" s="99" t="s">
        <v>59</v>
      </c>
      <c r="F43" s="94">
        <f>(B43*2)</f>
        <v>0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</row>
    <row r="44" spans="1:45" s="1" customFormat="1" ht="13.5" customHeight="1" thickBot="1" x14ac:dyDescent="0.25">
      <c r="A44" s="10" t="s">
        <v>104</v>
      </c>
      <c r="B44" s="57">
        <v>0</v>
      </c>
      <c r="C44" s="9" t="s">
        <v>66</v>
      </c>
      <c r="D44" s="97">
        <f>B44*525</f>
        <v>0</v>
      </c>
      <c r="E44" s="99" t="s">
        <v>46</v>
      </c>
      <c r="F44" s="94">
        <f>(B44*1)</f>
        <v>0</v>
      </c>
      <c r="G44" s="111"/>
      <c r="H44" s="111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1" t="s">
        <v>24</v>
      </c>
      <c r="T44" s="112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</row>
    <row r="45" spans="1:45" s="1" customFormat="1" ht="13.5" customHeight="1" thickBot="1" x14ac:dyDescent="0.25">
      <c r="A45" s="51" t="s">
        <v>101</v>
      </c>
      <c r="B45" s="56">
        <v>0</v>
      </c>
      <c r="C45" s="50" t="s">
        <v>126</v>
      </c>
      <c r="D45" s="96">
        <f>B45*270</f>
        <v>0</v>
      </c>
      <c r="E45" s="99" t="s">
        <v>47</v>
      </c>
      <c r="F45" s="94">
        <f>(B45*600)/10000</f>
        <v>0</v>
      </c>
      <c r="G45" s="111"/>
      <c r="H45" s="111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1" t="s">
        <v>25</v>
      </c>
      <c r="T45" s="12">
        <v>1162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</row>
    <row r="46" spans="1:45" s="1" customFormat="1" ht="13.5" customHeight="1" x14ac:dyDescent="0.2">
      <c r="A46" s="82" t="s">
        <v>105</v>
      </c>
      <c r="B46" s="57">
        <v>0</v>
      </c>
      <c r="C46" s="127" t="s">
        <v>116</v>
      </c>
      <c r="D46" s="128">
        <f>B46*(1050-380)</f>
        <v>0</v>
      </c>
      <c r="E46" s="129" t="s">
        <v>45</v>
      </c>
      <c r="F46" s="94">
        <f>(B46*1.5)</f>
        <v>0</v>
      </c>
      <c r="G46" s="111"/>
      <c r="H46" s="111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</row>
    <row r="47" spans="1:45" s="10" customFormat="1" ht="12.75" x14ac:dyDescent="0.2">
      <c r="A47" s="113" t="s">
        <v>118</v>
      </c>
      <c r="B47" s="114"/>
      <c r="C47" s="113"/>
      <c r="D47" s="115">
        <f>SUM(D39:D46)</f>
        <v>0</v>
      </c>
      <c r="E47" s="100"/>
      <c r="F47" s="95">
        <f>SUM(F39:F46)</f>
        <v>0</v>
      </c>
    </row>
    <row r="48" spans="1:45" s="10" customFormat="1" ht="12.75" x14ac:dyDescent="0.2">
      <c r="A48" s="10" t="s">
        <v>65</v>
      </c>
    </row>
    <row r="49" spans="1:6" s="10" customFormat="1" ht="12.75" x14ac:dyDescent="0.2"/>
    <row r="50" spans="1:6" s="6" customFormat="1" ht="20.25" customHeight="1" x14ac:dyDescent="0.25">
      <c r="A50" s="131" t="s">
        <v>106</v>
      </c>
      <c r="B50" s="131"/>
      <c r="C50" s="131"/>
      <c r="D50" s="131"/>
      <c r="E50" s="131"/>
      <c r="F50" s="131"/>
    </row>
    <row r="51" spans="1:6" s="10" customFormat="1" ht="12.75" x14ac:dyDescent="0.2">
      <c r="A51" s="58" t="s">
        <v>95</v>
      </c>
      <c r="B51" s="116"/>
      <c r="C51" s="117" t="s">
        <v>94</v>
      </c>
    </row>
    <row r="52" spans="1:6" s="10" customFormat="1" ht="12.75" x14ac:dyDescent="0.2">
      <c r="A52" s="118" t="s">
        <v>91</v>
      </c>
      <c r="B52" s="44" t="e">
        <f>F29/B8</f>
        <v>#DIV/0!</v>
      </c>
      <c r="C52" s="119">
        <v>0.25</v>
      </c>
      <c r="D52" s="120" t="e" cm="1">
        <f t="array" ref="D52">_xlfn.IFS(B52&gt;25%,"Attention vous avez atteint la limite de surfaces engagées !")</f>
        <v>#DIV/0!</v>
      </c>
    </row>
    <row r="53" spans="1:6" s="10" customFormat="1" ht="12.75" x14ac:dyDescent="0.2">
      <c r="A53" s="118" t="s">
        <v>111</v>
      </c>
      <c r="B53" s="44" t="e">
        <f>F47/B8</f>
        <v>#DIV/0!</v>
      </c>
      <c r="C53" s="119">
        <v>0.4</v>
      </c>
      <c r="D53" s="121" t="e" cm="1">
        <f t="array" ref="D53">_xlfn.IFS(B53&gt;40%,"Attention vous avez atteint la limite de surfaces engagées !")</f>
        <v>#DIV/0!</v>
      </c>
    </row>
    <row r="54" spans="1:6" s="10" customFormat="1" ht="12.75" x14ac:dyDescent="0.2"/>
    <row r="55" spans="1:6" s="6" customFormat="1" x14ac:dyDescent="0.25">
      <c r="A55" s="122" t="s">
        <v>120</v>
      </c>
      <c r="B55" s="122"/>
      <c r="C55" s="123"/>
      <c r="D55" s="124"/>
      <c r="E55" s="124"/>
      <c r="F55" s="125" t="e">
        <f>(F34/F29)</f>
        <v>#DIV/0!</v>
      </c>
    </row>
    <row r="56" spans="1:6" s="6" customFormat="1" x14ac:dyDescent="0.25">
      <c r="A56" s="122" t="s">
        <v>74</v>
      </c>
      <c r="B56" s="122"/>
      <c r="C56" s="123"/>
      <c r="D56" s="124"/>
      <c r="E56" s="124"/>
      <c r="F56" s="125">
        <f>F34+D47</f>
        <v>0</v>
      </c>
    </row>
    <row r="57" spans="1:6" s="6" customFormat="1" ht="13.5" customHeight="1" x14ac:dyDescent="0.25"/>
    <row r="58" spans="1:6" s="6" customFormat="1" ht="13.5" customHeight="1" x14ac:dyDescent="0.25"/>
    <row r="59" spans="1:6" s="6" customFormat="1" ht="13.5" customHeight="1" x14ac:dyDescent="0.25">
      <c r="A59" s="6" t="s">
        <v>98</v>
      </c>
      <c r="B59" s="126" t="s">
        <v>99</v>
      </c>
    </row>
    <row r="60" spans="1:6" s="6" customFormat="1" ht="13.5" customHeight="1" x14ac:dyDescent="0.25"/>
    <row r="61" spans="1:6" s="130" customFormat="1" ht="13.5" customHeight="1" x14ac:dyDescent="0.2">
      <c r="A61" s="130" t="s">
        <v>123</v>
      </c>
    </row>
    <row r="62" spans="1:6" s="130" customFormat="1" ht="13.5" customHeight="1" x14ac:dyDescent="0.2">
      <c r="A62" s="130" t="s">
        <v>97</v>
      </c>
    </row>
    <row r="63" spans="1:6" s="6" customFormat="1" ht="13.5" customHeight="1" x14ac:dyDescent="0.25"/>
    <row r="64" spans="1:6" s="6" customFormat="1" ht="13.5" customHeigh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</sheetData>
  <sheetProtection algorithmName="SHA-512" hashValue="Yb5TUpTsdltnnRe22MQz02ZZdD7kSpqYU4h6yan56OD5TSwjC+7Z/luqphhwkkVw4AaLZzJ6Uyn2bmgcI31ntg==" saltValue="jeB7PEBtIbbdSGeXTuaLnQ==" spinCount="100000" sheet="1" objects="1" scenarios="1" selectLockedCells="1"/>
  <protectedRanges>
    <protectedRange sqref="B14:E27" name="Plage1"/>
  </protectedRanges>
  <customSheetViews>
    <customSheetView guid="{922C0245-3CB9-4C57-99FF-81EAF4A86BDA}" scale="90" showPageBreaks="1" showGridLines="0" showRowCol="0" hiddenColumns="1" view="pageLayout" showRuler="0">
      <selection activeCell="A14" sqref="A14"/>
      <pageMargins left="0.25" right="0.25" top="0.75" bottom="0.75" header="0.3" footer="0.3"/>
      <pageSetup paperSize="9" orientation="landscape" verticalDpi="0" r:id="rId1"/>
    </customSheetView>
  </customSheetViews>
  <mergeCells count="13">
    <mergeCell ref="A5:F5"/>
    <mergeCell ref="A6:F6"/>
    <mergeCell ref="K35:N35"/>
    <mergeCell ref="F35:F36"/>
    <mergeCell ref="A12:F12"/>
    <mergeCell ref="A50:F50"/>
    <mergeCell ref="Y30:Y31"/>
    <mergeCell ref="S30:S31"/>
    <mergeCell ref="T30:T31"/>
    <mergeCell ref="U30:U31"/>
    <mergeCell ref="V30:V31"/>
    <mergeCell ref="W30:W31"/>
    <mergeCell ref="X30:X31"/>
  </mergeCells>
  <conditionalFormatting sqref="A54">
    <cfRule type="containsErrors" dxfId="16" priority="14">
      <formula>ISERROR(A54)</formula>
    </cfRule>
  </conditionalFormatting>
  <conditionalFormatting sqref="B52">
    <cfRule type="cellIs" dxfId="15" priority="11" operator="lessThan">
      <formula>0.25</formula>
    </cfRule>
    <cfRule type="cellIs" dxfId="14" priority="13" operator="equal">
      <formula>0.25</formula>
    </cfRule>
    <cfRule type="containsErrors" dxfId="13" priority="15">
      <formula>ISERROR(B52)</formula>
    </cfRule>
    <cfRule type="containsErrors" dxfId="12" priority="16">
      <formula>ISERROR(B52)</formula>
    </cfRule>
    <cfRule type="cellIs" dxfId="11" priority="17" operator="lessThan">
      <formula>0.25</formula>
    </cfRule>
    <cfRule type="cellIs" dxfId="10" priority="18" operator="greaterThan">
      <formula>0.25</formula>
    </cfRule>
    <cfRule type="cellIs" dxfId="9" priority="19" operator="greaterThan">
      <formula>25</formula>
    </cfRule>
  </conditionalFormatting>
  <conditionalFormatting sqref="B52:B53">
    <cfRule type="cellIs" dxfId="8" priority="2" operator="equal">
      <formula>0</formula>
    </cfRule>
  </conditionalFormatting>
  <conditionalFormatting sqref="B53">
    <cfRule type="containsErrors" dxfId="7" priority="1">
      <formula>ISERROR(B53)</formula>
    </cfRule>
    <cfRule type="cellIs" dxfId="6" priority="6" operator="equal">
      <formula>0.4</formula>
    </cfRule>
    <cfRule type="cellIs" dxfId="5" priority="10" operator="lessThan">
      <formula>0.4</formula>
    </cfRule>
    <cfRule type="cellIs" dxfId="4" priority="12" operator="greaterThan">
      <formula>0.4</formula>
    </cfRule>
  </conditionalFormatting>
  <conditionalFormatting sqref="D10">
    <cfRule type="containsErrors" dxfId="3" priority="34">
      <formula>ISERROR(D10)</formula>
    </cfRule>
  </conditionalFormatting>
  <conditionalFormatting sqref="D52:D53">
    <cfRule type="containsErrors" dxfId="2" priority="7">
      <formula>ISERROR(D52)</formula>
    </cfRule>
  </conditionalFormatting>
  <conditionalFormatting sqref="F55">
    <cfRule type="containsErrors" dxfId="1" priority="47">
      <formula>ISERROR(F55)</formula>
    </cfRule>
  </conditionalFormatting>
  <conditionalFormatting sqref="F56">
    <cfRule type="cellIs" dxfId="0" priority="33" operator="equal">
      <formula>0</formula>
    </cfRule>
  </conditionalFormatting>
  <dataValidations count="3">
    <dataValidation type="decimal" showInputMessage="1" showErrorMessage="1" errorTitle="Utilisez la virgule svp !" error="Merci d'utiliser une virgule et non un point pour vos valeurs décimales" prompt="Veuillez utiliser une virgule et non un point pour vos données décimales." sqref="B14:E27" xr:uid="{EBB46B37-AD7E-4977-906F-669A3D24A5D3}">
      <formula1>0</formula1>
      <formula2>10000</formula2>
    </dataValidation>
    <dataValidation type="decimal" showInputMessage="1" showErrorMessage="1" errorTitle="Utilisez la virgule svp !" error="Merci d'utiliser une virgule et non un point pour vos valeurs décimales" prompt="Veuillez utiliser une virgule et non un point pour vos données décimales." sqref="B8:B9" xr:uid="{CB02E8CF-20D0-45D0-94A9-B77C10CAE97B}">
      <formula1>0</formula1>
      <formula2>100000</formula2>
    </dataValidation>
    <dataValidation type="decimal" allowBlank="1" showInputMessage="1" showErrorMessage="1" errorTitle="Utilisez la virgule svp !" error="Merci d'utiliser une virgule et non un point pour vos valeurs décimales" prompt="Veuillez utiliser une virgule et non un point pour vos données décimales" sqref="B39:B46" xr:uid="{A7390230-48F5-4D22-8973-4A3E267000D5}">
      <formula1>0</formula1>
      <formula2>10000</formula2>
    </dataValidation>
  </dataValidations>
  <hyperlinks>
    <hyperlink ref="B59" r:id="rId2" xr:uid="{BB8C5D2A-A065-4362-B93B-C4D0FCD90864}"/>
  </hyperlinks>
  <pageMargins left="0.7" right="0.7" top="0.75" bottom="0.75" header="0.3" footer="0.3"/>
  <pageSetup paperSize="9" scale="70" orientation="portrait" r:id="rId3"/>
  <ignoredErrors>
    <ignoredError sqref="D52:D53 B52" evalError="1"/>
    <ignoredError sqref="F40:F45 F46:F47" calculatedColumn="1"/>
  </ignoredErrors>
  <drawing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F6C1-9199-4307-BDF7-C230A4609216}">
  <sheetPr>
    <pageSetUpPr fitToPage="1"/>
  </sheetPr>
  <dimension ref="A1:G24"/>
  <sheetViews>
    <sheetView showGridLines="0" view="pageLayout" topLeftCell="A3" zoomScaleNormal="100" workbookViewId="0">
      <selection activeCell="H21" sqref="H21"/>
    </sheetView>
  </sheetViews>
  <sheetFormatPr baseColWidth="10" defaultColWidth="11.42578125" defaultRowHeight="12.75" x14ac:dyDescent="0.2"/>
  <cols>
    <col min="1" max="1" width="21.42578125" style="10" customWidth="1"/>
    <col min="2" max="16384" width="11.42578125" style="10"/>
  </cols>
  <sheetData>
    <row r="1" spans="1:7" ht="13.5" thickBot="1" x14ac:dyDescent="0.25">
      <c r="A1" s="20" t="s">
        <v>1</v>
      </c>
      <c r="B1" s="20" t="s">
        <v>2</v>
      </c>
    </row>
    <row r="2" spans="1:7" ht="13.5" thickBot="1" x14ac:dyDescent="0.25">
      <c r="A2" s="11" t="s">
        <v>0</v>
      </c>
      <c r="B2" s="23">
        <v>1200</v>
      </c>
    </row>
    <row r="3" spans="1:7" ht="13.5" thickBot="1" x14ac:dyDescent="0.25">
      <c r="A3" s="11" t="s">
        <v>124</v>
      </c>
      <c r="B3" s="23">
        <v>2000</v>
      </c>
    </row>
    <row r="4" spans="1:7" ht="13.5" thickBot="1" x14ac:dyDescent="0.25">
      <c r="A4" s="11" t="s">
        <v>51</v>
      </c>
      <c r="B4" s="26">
        <v>1050</v>
      </c>
    </row>
    <row r="8" spans="1:7" x14ac:dyDescent="0.2">
      <c r="A8" s="89" t="s">
        <v>18</v>
      </c>
      <c r="B8" s="21" t="s">
        <v>12</v>
      </c>
      <c r="C8" s="21" t="s">
        <v>13</v>
      </c>
      <c r="D8" s="21" t="s">
        <v>14</v>
      </c>
      <c r="E8" s="21" t="s">
        <v>15</v>
      </c>
      <c r="F8" s="21" t="s">
        <v>16</v>
      </c>
      <c r="G8" s="21" t="s">
        <v>17</v>
      </c>
    </row>
    <row r="9" spans="1:7" x14ac:dyDescent="0.2">
      <c r="A9" s="90" t="s">
        <v>3</v>
      </c>
      <c r="B9" s="21">
        <v>180</v>
      </c>
      <c r="C9" s="21"/>
      <c r="D9" s="21">
        <v>300</v>
      </c>
      <c r="E9" s="21">
        <v>180</v>
      </c>
      <c r="F9" s="21">
        <v>300</v>
      </c>
      <c r="G9" s="21">
        <v>300</v>
      </c>
    </row>
    <row r="10" spans="1:7" x14ac:dyDescent="0.2">
      <c r="A10" s="90" t="s">
        <v>4</v>
      </c>
      <c r="B10" s="21">
        <v>95</v>
      </c>
      <c r="C10" s="21">
        <v>95</v>
      </c>
      <c r="D10" s="21">
        <v>262</v>
      </c>
      <c r="E10" s="21">
        <v>95</v>
      </c>
      <c r="F10" s="21">
        <v>248</v>
      </c>
      <c r="G10" s="21">
        <v>248</v>
      </c>
    </row>
    <row r="11" spans="1:7" x14ac:dyDescent="0.2">
      <c r="A11" s="90" t="s">
        <v>5</v>
      </c>
      <c r="B11" s="21">
        <v>105</v>
      </c>
      <c r="C11" s="21"/>
      <c r="D11" s="21">
        <v>80</v>
      </c>
      <c r="E11" s="21">
        <v>105</v>
      </c>
      <c r="F11" s="21">
        <v>80</v>
      </c>
      <c r="G11" s="21">
        <v>80</v>
      </c>
    </row>
    <row r="12" spans="1:7" x14ac:dyDescent="0.2">
      <c r="A12" s="90" t="s">
        <v>6</v>
      </c>
      <c r="B12" s="21">
        <v>480</v>
      </c>
      <c r="C12" s="21"/>
      <c r="D12" s="21">
        <v>589.25</v>
      </c>
      <c r="E12" s="21">
        <v>370</v>
      </c>
      <c r="F12" s="21">
        <v>450</v>
      </c>
      <c r="G12" s="21">
        <v>450</v>
      </c>
    </row>
    <row r="13" spans="1:7" x14ac:dyDescent="0.2">
      <c r="A13" s="90" t="s">
        <v>7</v>
      </c>
      <c r="B13" s="21">
        <v>175</v>
      </c>
      <c r="C13" s="21"/>
      <c r="D13" s="21">
        <v>150</v>
      </c>
      <c r="E13" s="21">
        <v>175</v>
      </c>
      <c r="F13" s="21">
        <v>50</v>
      </c>
      <c r="G13" s="21">
        <v>50</v>
      </c>
    </row>
    <row r="14" spans="1:7" x14ac:dyDescent="0.2">
      <c r="A14" s="90" t="s">
        <v>8</v>
      </c>
      <c r="B14" s="21">
        <v>260</v>
      </c>
      <c r="C14" s="21"/>
      <c r="D14" s="21">
        <v>450</v>
      </c>
      <c r="E14" s="21">
        <v>260</v>
      </c>
      <c r="F14" s="21">
        <v>130</v>
      </c>
      <c r="G14" s="21">
        <v>130</v>
      </c>
    </row>
    <row r="15" spans="1:7" x14ac:dyDescent="0.2">
      <c r="A15" s="90" t="s">
        <v>9</v>
      </c>
      <c r="B15" s="21">
        <v>200</v>
      </c>
      <c r="C15" s="21"/>
      <c r="D15" s="21">
        <v>350</v>
      </c>
      <c r="E15" s="21">
        <v>200</v>
      </c>
      <c r="F15" s="21">
        <v>420</v>
      </c>
      <c r="G15" s="21">
        <v>250</v>
      </c>
    </row>
    <row r="16" spans="1:7" x14ac:dyDescent="0.2">
      <c r="A16" s="90" t="s">
        <v>10</v>
      </c>
      <c r="B16" s="21">
        <v>125</v>
      </c>
      <c r="C16" s="21"/>
      <c r="D16" s="21"/>
      <c r="E16" s="21">
        <v>112</v>
      </c>
      <c r="F16" s="21">
        <v>125</v>
      </c>
      <c r="G16" s="21">
        <v>125</v>
      </c>
    </row>
    <row r="17" spans="1:7" ht="13.5" thickBot="1" x14ac:dyDescent="0.25">
      <c r="A17" s="91" t="s">
        <v>11</v>
      </c>
      <c r="B17" s="39"/>
      <c r="C17" s="39"/>
      <c r="D17" s="39"/>
      <c r="E17" s="39"/>
      <c r="F17" s="39"/>
      <c r="G17" s="39"/>
    </row>
    <row r="18" spans="1:7" x14ac:dyDescent="0.2">
      <c r="A18" s="149" t="s">
        <v>19</v>
      </c>
      <c r="B18" s="134">
        <f>SUM(B9:B17)</f>
        <v>1620</v>
      </c>
      <c r="C18" s="136">
        <f t="shared" ref="C18:G18" si="0">SUM(C9:C17)</f>
        <v>95</v>
      </c>
      <c r="D18" s="138">
        <f t="shared" si="0"/>
        <v>2181.25</v>
      </c>
      <c r="E18" s="138">
        <f t="shared" si="0"/>
        <v>1497</v>
      </c>
      <c r="F18" s="132">
        <f t="shared" si="0"/>
        <v>1803</v>
      </c>
      <c r="G18" s="132">
        <f t="shared" si="0"/>
        <v>1633</v>
      </c>
    </row>
    <row r="19" spans="1:7" ht="13.5" thickBot="1" x14ac:dyDescent="0.25">
      <c r="A19" s="150"/>
      <c r="B19" s="135"/>
      <c r="C19" s="137"/>
      <c r="D19" s="139"/>
      <c r="E19" s="139"/>
      <c r="F19" s="133"/>
      <c r="G19" s="133"/>
    </row>
    <row r="20" spans="1:7" x14ac:dyDescent="0.2">
      <c r="A20" s="92" t="s">
        <v>20</v>
      </c>
      <c r="B20" s="78">
        <v>10</v>
      </c>
      <c r="C20" s="78"/>
      <c r="D20" s="78">
        <v>85</v>
      </c>
      <c r="E20" s="78">
        <v>9</v>
      </c>
      <c r="F20" s="78">
        <v>46</v>
      </c>
      <c r="G20" s="78">
        <v>12</v>
      </c>
    </row>
    <row r="21" spans="1:7" x14ac:dyDescent="0.2">
      <c r="A21" s="90" t="s">
        <v>21</v>
      </c>
      <c r="B21" s="21">
        <v>250</v>
      </c>
      <c r="C21" s="21"/>
      <c r="D21" s="21">
        <v>45</v>
      </c>
      <c r="E21" s="21">
        <v>240</v>
      </c>
      <c r="F21" s="21">
        <v>50</v>
      </c>
      <c r="G21" s="21">
        <v>180</v>
      </c>
    </row>
    <row r="22" spans="1:7" ht="13.5" thickBot="1" x14ac:dyDescent="0.25">
      <c r="A22" s="91" t="s">
        <v>22</v>
      </c>
      <c r="B22" s="39">
        <v>2500</v>
      </c>
      <c r="C22" s="39">
        <v>2100</v>
      </c>
      <c r="D22" s="39">
        <v>3825</v>
      </c>
      <c r="E22" s="39">
        <v>2160</v>
      </c>
      <c r="F22" s="39">
        <v>2300</v>
      </c>
      <c r="G22" s="39">
        <v>2160</v>
      </c>
    </row>
    <row r="23" spans="1:7" x14ac:dyDescent="0.2">
      <c r="A23" s="145" t="s">
        <v>23</v>
      </c>
      <c r="B23" s="136">
        <v>880</v>
      </c>
      <c r="C23" s="136">
        <v>2005</v>
      </c>
      <c r="D23" s="147">
        <v>1644</v>
      </c>
      <c r="E23" s="134">
        <v>663</v>
      </c>
      <c r="F23" s="132">
        <v>622</v>
      </c>
      <c r="G23" s="132">
        <v>527</v>
      </c>
    </row>
    <row r="24" spans="1:7" ht="13.5" thickBot="1" x14ac:dyDescent="0.25">
      <c r="A24" s="146"/>
      <c r="B24" s="137"/>
      <c r="C24" s="137"/>
      <c r="D24" s="148"/>
      <c r="E24" s="135"/>
      <c r="F24" s="133"/>
      <c r="G24" s="133"/>
    </row>
  </sheetData>
  <customSheetViews>
    <customSheetView guid="{922C0245-3CB9-4C57-99FF-81EAF4A86BDA}" state="hidden">
      <selection activeCell="H12" sqref="H12"/>
      <pageMargins left="0.7" right="0.7" top="0.75" bottom="0.75" header="0.3" footer="0.3"/>
    </customSheetView>
  </customSheetViews>
  <mergeCells count="14">
    <mergeCell ref="G18:G19"/>
    <mergeCell ref="A23:A24"/>
    <mergeCell ref="B23:B24"/>
    <mergeCell ref="C23:C24"/>
    <mergeCell ref="D23:D24"/>
    <mergeCell ref="E23:E24"/>
    <mergeCell ref="F23:F24"/>
    <mergeCell ref="G23:G24"/>
    <mergeCell ref="A18:A19"/>
    <mergeCell ref="B18:B19"/>
    <mergeCell ref="C18:C19"/>
    <mergeCell ref="D18:D19"/>
    <mergeCell ref="E18:E19"/>
    <mergeCell ref="F18:F19"/>
  </mergeCells>
  <pageMargins left="0.7" right="0.7" top="0.75" bottom="0.75" header="0.3" footer="0.3"/>
  <pageSetup paperSize="9" scale="97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A336-A05F-4BB8-BBA3-7CAE5796A171}">
  <dimension ref="C4:F4"/>
  <sheetViews>
    <sheetView workbookViewId="0">
      <selection activeCell="E7" sqref="E7"/>
    </sheetView>
  </sheetViews>
  <sheetFormatPr baseColWidth="10" defaultRowHeight="15" x14ac:dyDescent="0.25"/>
  <sheetData>
    <row r="4" spans="3:6" x14ac:dyDescent="0.25">
      <c r="C4" t="s">
        <v>52</v>
      </c>
      <c r="D4" t="s">
        <v>53</v>
      </c>
      <c r="E4" t="s">
        <v>54</v>
      </c>
      <c r="F4" t="s">
        <v>55</v>
      </c>
    </row>
  </sheetData>
  <customSheetViews>
    <customSheetView guid="{922C0245-3CB9-4C57-99FF-81EAF4A86BDA}" state="hidden">
      <selection activeCell="E7" sqref="E7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9ee767-d9d1-4c5c-9f78-275b37d4b4c1">
      <Terms xmlns="http://schemas.microsoft.com/office/infopath/2007/PartnerControls"/>
    </lcf76f155ced4ddcb4097134ff3c332f>
    <TaxCatchAll xmlns="f07bbce7-b755-4276-b265-00613539e09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E6D8F3974090478448F60A86C117AD" ma:contentTypeVersion="18" ma:contentTypeDescription="Crée un document." ma:contentTypeScope="" ma:versionID="67a471d8a64c2107dad2e12b3efb34de">
  <xsd:schema xmlns:xsd="http://www.w3.org/2001/XMLSchema" xmlns:xs="http://www.w3.org/2001/XMLSchema" xmlns:p="http://schemas.microsoft.com/office/2006/metadata/properties" xmlns:ns2="699ee767-d9d1-4c5c-9f78-275b37d4b4c1" xmlns:ns3="f07bbce7-b755-4276-b265-00613539e091" targetNamespace="http://schemas.microsoft.com/office/2006/metadata/properties" ma:root="true" ma:fieldsID="4cd041b3c8304a68a1f47f817862eaa1" ns2:_="" ns3:_="">
    <xsd:import namespace="699ee767-d9d1-4c5c-9f78-275b37d4b4c1"/>
    <xsd:import namespace="f07bbce7-b755-4276-b265-00613539e0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9ee767-d9d1-4c5c-9f78-275b37d4b4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1b9b2b81-9b8c-432c-a79a-26a277e630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bbce7-b755-4276-b265-00613539e09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e2dfaf-711e-4586-b6d3-6fbf4be09023}" ma:internalName="TaxCatchAll" ma:showField="CatchAllData" ma:web="f07bbce7-b755-4276-b265-00613539e0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65DE4F-0EB9-44FD-B6E2-7C94527836AC}">
  <ds:schemaRefs>
    <ds:schemaRef ds:uri="http://schemas.microsoft.com/office/2006/metadata/properties"/>
    <ds:schemaRef ds:uri="http://schemas.microsoft.com/office/infopath/2007/PartnerControls"/>
    <ds:schemaRef ds:uri="699ee767-d9d1-4c5c-9f78-275b37d4b4c1"/>
    <ds:schemaRef ds:uri="f07bbce7-b755-4276-b265-00613539e091"/>
  </ds:schemaRefs>
</ds:datastoreItem>
</file>

<file path=customXml/itemProps2.xml><?xml version="1.0" encoding="utf-8"?>
<ds:datastoreItem xmlns:ds="http://schemas.openxmlformats.org/officeDocument/2006/customXml" ds:itemID="{D60EF9C5-2105-467D-A326-FE47A9173A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9ee767-d9d1-4c5c-9f78-275b37d4b4c1"/>
    <ds:schemaRef ds:uri="f07bbce7-b755-4276-b265-00613539e0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79AAE0-9E03-4F99-8D76-815E6E06CA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Module biodiversité</vt:lpstr>
      <vt:lpstr>Estimation rotation conv.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Breuskin</dc:creator>
  <cp:lastModifiedBy>Violaine Cappellen</cp:lastModifiedBy>
  <dcterms:created xsi:type="dcterms:W3CDTF">2023-05-23T07:50:30Z</dcterms:created>
  <dcterms:modified xsi:type="dcterms:W3CDTF">2024-08-22T14:14:38Z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0x010100D4E6D8F3974090478448F60A86C117AD</vt:lpwstr>
  </property>
  <property fmtid="{D5CDD505-2E9C-101B-9397-08002B2CF9AE}" pid="3" name="MediaServiceImageTags">
    <vt:lpwstr/>
  </property>
</Properties>
</file>